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HONG ANH\"/>
    </mc:Choice>
  </mc:AlternateContent>
  <bookViews>
    <workbookView xWindow="0" yWindow="0" windowWidth="20490" windowHeight="7005" tabRatio="745" firstSheet="14" activeTab="18"/>
  </bookViews>
  <sheets>
    <sheet name="Sheet2" sheetId="4" state="hidden" r:id="rId1"/>
    <sheet name="Thang bảng lương" sheetId="3" state="hidden" r:id="rId2"/>
    <sheet name="Diễn giải" sheetId="36" r:id="rId3"/>
    <sheet name="Bang luong" sheetId="24" state="hidden" r:id="rId4"/>
    <sheet name="he so" sheetId="71" state="hidden" r:id="rId5"/>
    <sheet name="the luong" sheetId="53" r:id="rId6"/>
    <sheet name="thang luong moi" sheetId="69" r:id="rId7"/>
    <sheet name="Bang luong (chaun)" sheetId="56" state="hidden" r:id="rId8"/>
    <sheet name="ung luong" sheetId="54" r:id="rId9"/>
    <sheet name="So sánh - nhan xet" sheetId="35" state="hidden" r:id="rId10"/>
    <sheet name="chuyên cần" sheetId="25" r:id="rId11"/>
    <sheet name="nhap cc" sheetId="52" state="hidden" r:id="rId12"/>
    <sheet name="BLuong" sheetId="1" state="hidden" r:id="rId13"/>
    <sheet name="TG - Phep nam" sheetId="102" r:id="rId14"/>
    <sheet name="CC" sheetId="17" r:id="rId15"/>
    <sheet name="BANG LUONG 1" sheetId="70" r:id="rId16"/>
    <sheet name="đơn giá" sheetId="5" r:id="rId17"/>
    <sheet name="Công tổng" sheetId="6" r:id="rId18"/>
    <sheet name="26" sheetId="96" r:id="rId19"/>
    <sheet name="27" sheetId="97" r:id="rId20"/>
    <sheet name="28" sheetId="98" r:id="rId21"/>
    <sheet name="29" sheetId="99" r:id="rId22"/>
    <sheet name="30" sheetId="101" r:id="rId23"/>
    <sheet name="31" sheetId="100" r:id="rId24"/>
    <sheet name="1" sheetId="7" r:id="rId25"/>
    <sheet name="2" sheetId="72" r:id="rId26"/>
    <sheet name="3" sheetId="73" r:id="rId27"/>
    <sheet name="4" sheetId="74" r:id="rId28"/>
    <sheet name="5" sheetId="75" r:id="rId29"/>
    <sheet name="6" sheetId="76" r:id="rId30"/>
    <sheet name="7" sheetId="77" r:id="rId31"/>
    <sheet name="8" sheetId="78" r:id="rId32"/>
    <sheet name="9" sheetId="79" r:id="rId33"/>
    <sheet name="10" sheetId="80" r:id="rId34"/>
    <sheet name="11" sheetId="81" r:id="rId35"/>
    <sheet name="12" sheetId="82" r:id="rId36"/>
    <sheet name="13" sheetId="83" r:id="rId37"/>
    <sheet name="14" sheetId="84" r:id="rId38"/>
    <sheet name="15" sheetId="85" r:id="rId39"/>
    <sheet name="16" sheetId="86" r:id="rId40"/>
    <sheet name="17" sheetId="87" r:id="rId41"/>
    <sheet name="18" sheetId="88" r:id="rId42"/>
    <sheet name="19" sheetId="89" r:id="rId43"/>
    <sheet name="20" sheetId="90" r:id="rId44"/>
    <sheet name="21" sheetId="91" r:id="rId45"/>
    <sheet name="22" sheetId="92" r:id="rId46"/>
    <sheet name="23" sheetId="93" r:id="rId47"/>
    <sheet name="24" sheetId="94" r:id="rId48"/>
    <sheet name="25" sheetId="95" r:id="rId49"/>
    <sheet name="boc xe" sheetId="8" state="hidden" r:id="rId50"/>
    <sheet name="chia CN boc xe" sheetId="9" state="hidden" r:id="rId51"/>
    <sheet name="SX" sheetId="10" state="hidden" r:id="rId52"/>
    <sheet name="chia CN SX" sheetId="11" state="hidden" r:id="rId53"/>
    <sheet name="XLBH" sheetId="30" state="hidden" r:id="rId54"/>
    <sheet name="chia CN XLBH" sheetId="31" state="hidden" r:id="rId55"/>
  </sheets>
  <externalReferences>
    <externalReference r:id="rId56"/>
    <externalReference r:id="rId57"/>
  </externalReferences>
  <definedNames>
    <definedName name="_xlnm._FilterDatabase" localSheetId="3" hidden="1">'Bang luong'!$A$4:$G$47</definedName>
    <definedName name="_xlnm._FilterDatabase" localSheetId="7" hidden="1">'Bang luong (chaun)'!$A$4:$AT$83</definedName>
    <definedName name="_xlnm._FilterDatabase" localSheetId="15" hidden="1">'BANG LUONG 1'!$A$5:$AJ$56</definedName>
    <definedName name="_xlnm._FilterDatabase" localSheetId="12" hidden="1">BLuong!$A$4:$E$99</definedName>
    <definedName name="_xlnm._FilterDatabase" localSheetId="50" hidden="1">'chia CN boc xe'!$A$2:$AJ$131</definedName>
    <definedName name="_xlnm._FilterDatabase" localSheetId="16" hidden="1">'đơn giá'!$A$3:$M$3</definedName>
    <definedName name="_xlnm._FilterDatabase" localSheetId="5" hidden="1">'the luong'!$B$1:$B$3003</definedName>
    <definedName name="_xlnm.Print_Area" localSheetId="7">'Bang luong (chaun)'!$C$6:$J$79</definedName>
    <definedName name="_xlnm.Print_Area" localSheetId="15">'BANG LUONG 1'!$A$2:$AJ$64</definedName>
    <definedName name="_xlnm.Print_Area" localSheetId="6">'thang luong moi'!$A$11:$I$78</definedName>
    <definedName name="_xlnm.Print_Titles" localSheetId="15">'BANG LUONG 1'!$5:$5</definedName>
    <definedName name="_xlnm.Print_Titles" localSheetId="14">CC!$4:$4</definedName>
    <definedName name="_xlnm.Print_Titles" localSheetId="13">'TG - Phep nam'!$2:$3</definedName>
    <definedName name="_xlnm.Print_Titles" localSheetId="8">'ung luong'!$2:$2</definedName>
  </definedNames>
  <calcPr calcId="162913"/>
</workbook>
</file>

<file path=xl/calcChain.xml><?xml version="1.0" encoding="utf-8"?>
<calcChain xmlns="http://schemas.openxmlformats.org/spreadsheetml/2006/main">
  <c r="BZ40" i="17" l="1"/>
  <c r="BZ39" i="17"/>
  <c r="BK29" i="96"/>
  <c r="BK22" i="96"/>
  <c r="BV22" i="96"/>
  <c r="BV17" i="96"/>
  <c r="J38" i="5" l="1"/>
  <c r="AX33" i="96" l="1"/>
  <c r="BZ52" i="17" l="1"/>
  <c r="BZ51" i="17"/>
  <c r="BZ50" i="17"/>
  <c r="BZ49" i="17"/>
  <c r="BZ46" i="17"/>
  <c r="BZ45" i="17"/>
  <c r="BZ44" i="17"/>
  <c r="BZ43" i="17"/>
  <c r="BZ42" i="17"/>
  <c r="BZ41" i="17"/>
  <c r="BY39" i="17"/>
  <c r="BX39" i="17"/>
  <c r="BX48" i="17" l="1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B47" i="70" l="1"/>
  <c r="F115" i="54"/>
  <c r="F114" i="54"/>
  <c r="D114" i="54"/>
  <c r="C114" i="54"/>
  <c r="B114" i="54"/>
  <c r="CF14" i="17" l="1"/>
  <c r="CG14" i="17" s="1"/>
  <c r="CD11" i="17"/>
  <c r="CC12" i="17"/>
  <c r="CD12" i="17" s="1"/>
  <c r="BW49" i="6" l="1"/>
  <c r="AG20" i="70" l="1"/>
  <c r="CC13" i="17"/>
  <c r="CD13" i="17" s="1"/>
  <c r="CB14" i="17"/>
  <c r="CD14" i="17" s="1"/>
  <c r="BZ13" i="17"/>
  <c r="CC14" i="17"/>
  <c r="BZ15" i="17"/>
  <c r="BZ12" i="17"/>
  <c r="CA12" i="17" s="1"/>
  <c r="CA16" i="17"/>
  <c r="CA15" i="17" s="1"/>
  <c r="CB16" i="17"/>
  <c r="CA17" i="17"/>
  <c r="CB17" i="17" s="1"/>
  <c r="BZ19" i="17"/>
  <c r="CA19" i="17"/>
  <c r="AR4" i="96"/>
  <c r="AN50" i="82"/>
  <c r="AO50" i="82"/>
  <c r="AM49" i="100"/>
  <c r="AN49" i="100"/>
  <c r="AO49" i="100"/>
  <c r="AL49" i="100"/>
  <c r="CC15" i="17" l="1"/>
  <c r="CB12" i="17"/>
  <c r="CB15" i="17"/>
  <c r="AM50" i="99"/>
  <c r="AN50" i="99"/>
  <c r="AO50" i="99"/>
  <c r="AQ37" i="17" l="1"/>
  <c r="AD48" i="70" l="1"/>
  <c r="AD54" i="70" s="1"/>
  <c r="AE48" i="70"/>
  <c r="AI48" i="70"/>
  <c r="AI54" i="70" s="1"/>
  <c r="AD39" i="70"/>
  <c r="AE39" i="70"/>
  <c r="AI39" i="70"/>
  <c r="AD19" i="70"/>
  <c r="AE19" i="70"/>
  <c r="AI19" i="70"/>
  <c r="AD6" i="70"/>
  <c r="AE6" i="70"/>
  <c r="AE54" i="70" s="1"/>
  <c r="AI6" i="70"/>
  <c r="B93" i="53" l="1"/>
  <c r="B92" i="53"/>
  <c r="AZ111" i="102" l="1"/>
  <c r="AC34" i="70" l="1"/>
  <c r="AC35" i="70"/>
  <c r="AL47" i="25" l="1"/>
  <c r="AO47" i="25" s="1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E44" i="6"/>
  <c r="BF44" i="6"/>
  <c r="BG44" i="6"/>
  <c r="BH44" i="6"/>
  <c r="BH91" i="6" s="1"/>
  <c r="BE45" i="6"/>
  <c r="BF45" i="6"/>
  <c r="BG45" i="6"/>
  <c r="BH45" i="6"/>
  <c r="BE46" i="6"/>
  <c r="BF46" i="6"/>
  <c r="BG46" i="6"/>
  <c r="BH46" i="6"/>
  <c r="BE47" i="6"/>
  <c r="BF47" i="6"/>
  <c r="BG47" i="6"/>
  <c r="BH47" i="6"/>
  <c r="BE48" i="6"/>
  <c r="BF48" i="6"/>
  <c r="BG48" i="6"/>
  <c r="BH48" i="6"/>
  <c r="BE49" i="6"/>
  <c r="BF49" i="6"/>
  <c r="BG49" i="6"/>
  <c r="BH49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AQ44" i="6"/>
  <c r="AQ91" i="6" s="1"/>
  <c r="AR44" i="6"/>
  <c r="AR91" i="6" s="1"/>
  <c r="AS44" i="6"/>
  <c r="AS91" i="6" s="1"/>
  <c r="AT44" i="6"/>
  <c r="AT91" i="6" s="1"/>
  <c r="AU44" i="6"/>
  <c r="AU91" i="6" s="1"/>
  <c r="AV44" i="6"/>
  <c r="AV91" i="6" s="1"/>
  <c r="AW44" i="6"/>
  <c r="AW91" i="6" s="1"/>
  <c r="AX44" i="6"/>
  <c r="AX91" i="6" s="1"/>
  <c r="AY44" i="6"/>
  <c r="AY91" i="6" s="1"/>
  <c r="AZ44" i="6"/>
  <c r="AZ91" i="6" s="1"/>
  <c r="BA44" i="6"/>
  <c r="BA91" i="6" s="1"/>
  <c r="BB44" i="6"/>
  <c r="BB91" i="6" s="1"/>
  <c r="BC44" i="6"/>
  <c r="BC91" i="6" s="1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AL44" i="6"/>
  <c r="AM44" i="6"/>
  <c r="AN44" i="6"/>
  <c r="AO44" i="6"/>
  <c r="AL45" i="6"/>
  <c r="AM45" i="6"/>
  <c r="AN45" i="6"/>
  <c r="AO45" i="6"/>
  <c r="AL46" i="6"/>
  <c r="AM46" i="6"/>
  <c r="AN46" i="6"/>
  <c r="AO46" i="6"/>
  <c r="AL47" i="6"/>
  <c r="AM47" i="6"/>
  <c r="AN47" i="6"/>
  <c r="AO47" i="6"/>
  <c r="AL48" i="6"/>
  <c r="AM48" i="6"/>
  <c r="AN48" i="6"/>
  <c r="AO48" i="6"/>
  <c r="AL49" i="6"/>
  <c r="AM49" i="6"/>
  <c r="AN49" i="6"/>
  <c r="AO49" i="6"/>
  <c r="AL7" i="6"/>
  <c r="AM7" i="6"/>
  <c r="AN7" i="6"/>
  <c r="AO7" i="6"/>
  <c r="AL8" i="6"/>
  <c r="AM8" i="6"/>
  <c r="AN8" i="6"/>
  <c r="AO8" i="6"/>
  <c r="AL9" i="6"/>
  <c r="AM9" i="6"/>
  <c r="AN9" i="6"/>
  <c r="AO9" i="6"/>
  <c r="AL10" i="6"/>
  <c r="AM10" i="6"/>
  <c r="AN10" i="6"/>
  <c r="AO10" i="6"/>
  <c r="AL11" i="6"/>
  <c r="AM11" i="6"/>
  <c r="AN11" i="6"/>
  <c r="AO11" i="6"/>
  <c r="AL12" i="6"/>
  <c r="AM12" i="6"/>
  <c r="AN12" i="6"/>
  <c r="AO12" i="6"/>
  <c r="AL13" i="6"/>
  <c r="AM13" i="6"/>
  <c r="AN13" i="6"/>
  <c r="AO13" i="6"/>
  <c r="AL14" i="6"/>
  <c r="AM14" i="6"/>
  <c r="AN14" i="6"/>
  <c r="AO14" i="6"/>
  <c r="AL15" i="6"/>
  <c r="AM15" i="6"/>
  <c r="AN15" i="6"/>
  <c r="AO15" i="6"/>
  <c r="AL16" i="6"/>
  <c r="AM16" i="6"/>
  <c r="AN16" i="6"/>
  <c r="AO16" i="6"/>
  <c r="AL17" i="6"/>
  <c r="AM17" i="6"/>
  <c r="AN17" i="6"/>
  <c r="AO17" i="6"/>
  <c r="AL18" i="6"/>
  <c r="AM18" i="6"/>
  <c r="AN18" i="6"/>
  <c r="AO18" i="6"/>
  <c r="AL19" i="6"/>
  <c r="AM19" i="6"/>
  <c r="AN19" i="6"/>
  <c r="AO19" i="6"/>
  <c r="AL20" i="6"/>
  <c r="AM20" i="6"/>
  <c r="AN20" i="6"/>
  <c r="AO20" i="6"/>
  <c r="AL21" i="6"/>
  <c r="AM21" i="6"/>
  <c r="AN21" i="6"/>
  <c r="AO21" i="6"/>
  <c r="AL22" i="6"/>
  <c r="AM22" i="6"/>
  <c r="AN22" i="6"/>
  <c r="AO22" i="6"/>
  <c r="AL23" i="6"/>
  <c r="AM23" i="6"/>
  <c r="AN23" i="6"/>
  <c r="AO23" i="6"/>
  <c r="AL24" i="6"/>
  <c r="AM24" i="6"/>
  <c r="AN24" i="6"/>
  <c r="AO24" i="6"/>
  <c r="AL25" i="6"/>
  <c r="AM25" i="6"/>
  <c r="AN25" i="6"/>
  <c r="AO25" i="6"/>
  <c r="AL26" i="6"/>
  <c r="AM26" i="6"/>
  <c r="AN26" i="6"/>
  <c r="AO26" i="6"/>
  <c r="AL27" i="6"/>
  <c r="AM27" i="6"/>
  <c r="AN27" i="6"/>
  <c r="AO27" i="6"/>
  <c r="AL28" i="6"/>
  <c r="AM28" i="6"/>
  <c r="AN28" i="6"/>
  <c r="AO28" i="6"/>
  <c r="AL29" i="6"/>
  <c r="AM29" i="6"/>
  <c r="AN29" i="6"/>
  <c r="AO29" i="6"/>
  <c r="AL30" i="6"/>
  <c r="AM30" i="6"/>
  <c r="AN30" i="6"/>
  <c r="AO30" i="6"/>
  <c r="AL31" i="6"/>
  <c r="AM31" i="6"/>
  <c r="AN31" i="6"/>
  <c r="AO31" i="6"/>
  <c r="AL32" i="6"/>
  <c r="AM32" i="6"/>
  <c r="AN32" i="6"/>
  <c r="AO32" i="6"/>
  <c r="AL33" i="6"/>
  <c r="AM33" i="6"/>
  <c r="AN33" i="6"/>
  <c r="AO33" i="6"/>
  <c r="AL34" i="6"/>
  <c r="AM34" i="6"/>
  <c r="AN34" i="6"/>
  <c r="AO34" i="6"/>
  <c r="AL35" i="6"/>
  <c r="AM35" i="6"/>
  <c r="AN35" i="6"/>
  <c r="AO35" i="6"/>
  <c r="AL36" i="6"/>
  <c r="AM36" i="6"/>
  <c r="AN36" i="6"/>
  <c r="AO36" i="6"/>
  <c r="AL37" i="6"/>
  <c r="AM37" i="6"/>
  <c r="AN37" i="6"/>
  <c r="AO37" i="6"/>
  <c r="AL38" i="6"/>
  <c r="AM38" i="6"/>
  <c r="AN38" i="6"/>
  <c r="AO38" i="6"/>
  <c r="AL39" i="6"/>
  <c r="AM39" i="6"/>
  <c r="AN39" i="6"/>
  <c r="AO39" i="6"/>
  <c r="AL40" i="6"/>
  <c r="AM40" i="6"/>
  <c r="AN40" i="6"/>
  <c r="AO40" i="6"/>
  <c r="AL41" i="6"/>
  <c r="AM41" i="6"/>
  <c r="AN41" i="6"/>
  <c r="AO41" i="6"/>
  <c r="AL42" i="6"/>
  <c r="AM42" i="6"/>
  <c r="AN42" i="6"/>
  <c r="AO42" i="6"/>
  <c r="AL43" i="6"/>
  <c r="AM43" i="6"/>
  <c r="AN43" i="6"/>
  <c r="AO43" i="6"/>
  <c r="AM6" i="6"/>
  <c r="AN6" i="6"/>
  <c r="AO6" i="6"/>
  <c r="D44" i="6"/>
  <c r="D91" i="6" s="1"/>
  <c r="B44" i="95"/>
  <c r="C44" i="95"/>
  <c r="D44" i="95"/>
  <c r="B44" i="94"/>
  <c r="C44" i="94"/>
  <c r="D44" i="94"/>
  <c r="B44" i="93"/>
  <c r="C44" i="93"/>
  <c r="D44" i="93"/>
  <c r="B44" i="92"/>
  <c r="C44" i="92"/>
  <c r="D44" i="92"/>
  <c r="B44" i="91"/>
  <c r="C44" i="91"/>
  <c r="D44" i="91"/>
  <c r="B44" i="90"/>
  <c r="C44" i="90"/>
  <c r="D44" i="90"/>
  <c r="B44" i="89"/>
  <c r="C44" i="89"/>
  <c r="D44" i="89"/>
  <c r="B44" i="88"/>
  <c r="C44" i="88"/>
  <c r="D44" i="88"/>
  <c r="B44" i="87"/>
  <c r="C44" i="87"/>
  <c r="D44" i="87"/>
  <c r="B44" i="86"/>
  <c r="C44" i="86"/>
  <c r="D44" i="86"/>
  <c r="B44" i="85"/>
  <c r="C44" i="85"/>
  <c r="D44" i="85"/>
  <c r="B44" i="84"/>
  <c r="C44" i="84"/>
  <c r="D44" i="84"/>
  <c r="B44" i="83"/>
  <c r="C44" i="83"/>
  <c r="D44" i="83"/>
  <c r="B44" i="82"/>
  <c r="C44" i="82"/>
  <c r="D44" i="82"/>
  <c r="B44" i="81"/>
  <c r="C44" i="81"/>
  <c r="D44" i="81"/>
  <c r="B44" i="80"/>
  <c r="C44" i="80"/>
  <c r="D44" i="80"/>
  <c r="B44" i="79"/>
  <c r="C44" i="79"/>
  <c r="D44" i="79"/>
  <c r="B44" i="78"/>
  <c r="C44" i="78"/>
  <c r="D44" i="78"/>
  <c r="B44" i="77"/>
  <c r="C44" i="77"/>
  <c r="D44" i="77"/>
  <c r="B44" i="76"/>
  <c r="C44" i="76"/>
  <c r="D44" i="76"/>
  <c r="B44" i="75"/>
  <c r="C44" i="75"/>
  <c r="D44" i="75"/>
  <c r="B44" i="74"/>
  <c r="C44" i="74"/>
  <c r="D44" i="74"/>
  <c r="B44" i="73"/>
  <c r="C44" i="73"/>
  <c r="D44" i="73"/>
  <c r="B45" i="73"/>
  <c r="C45" i="73"/>
  <c r="D45" i="73"/>
  <c r="B44" i="72"/>
  <c r="C44" i="72"/>
  <c r="D44" i="72"/>
  <c r="B44" i="7"/>
  <c r="C44" i="7"/>
  <c r="D44" i="7"/>
  <c r="A44" i="100"/>
  <c r="B44" i="100"/>
  <c r="C44" i="100"/>
  <c r="D44" i="100"/>
  <c r="B44" i="101"/>
  <c r="C44" i="101"/>
  <c r="D44" i="101"/>
  <c r="B44" i="99"/>
  <c r="C44" i="99"/>
  <c r="D44" i="99"/>
  <c r="B44" i="98"/>
  <c r="C44" i="98"/>
  <c r="D44" i="98"/>
  <c r="D44" i="97"/>
  <c r="B44" i="97"/>
  <c r="C44" i="97"/>
  <c r="B44" i="6"/>
  <c r="B91" i="6" s="1"/>
  <c r="C44" i="6"/>
  <c r="C91" i="6" s="1"/>
  <c r="C45" i="6"/>
  <c r="D44" i="96"/>
  <c r="C44" i="96"/>
  <c r="B44" i="96"/>
  <c r="C43" i="97"/>
  <c r="AC47" i="70"/>
  <c r="F47" i="70"/>
  <c r="G47" i="70"/>
  <c r="AZ110" i="102" l="1"/>
  <c r="B45" i="17" l="1"/>
  <c r="B46" i="17"/>
  <c r="AK46" i="17"/>
  <c r="AJ46" i="17" s="1"/>
  <c r="AL46" i="17"/>
  <c r="AM46" i="17"/>
  <c r="AJ47" i="25" l="1"/>
  <c r="AM47" i="25" s="1"/>
  <c r="AK47" i="25"/>
  <c r="AN47" i="25" s="1"/>
  <c r="AZ5" i="102"/>
  <c r="AZ6" i="102"/>
  <c r="AZ7" i="102"/>
  <c r="AZ8" i="102"/>
  <c r="AZ9" i="102"/>
  <c r="AZ10" i="102"/>
  <c r="AZ11" i="102"/>
  <c r="AZ12" i="102"/>
  <c r="AZ13" i="102"/>
  <c r="AZ14" i="102"/>
  <c r="AZ15" i="102"/>
  <c r="AZ16" i="102"/>
  <c r="AZ17" i="102"/>
  <c r="AZ18" i="102"/>
  <c r="AZ19" i="102"/>
  <c r="AZ20" i="102"/>
  <c r="AZ21" i="102"/>
  <c r="AZ22" i="102"/>
  <c r="AZ23" i="102"/>
  <c r="AZ24" i="102"/>
  <c r="AZ25" i="102"/>
  <c r="AZ26" i="102"/>
  <c r="AZ27" i="102"/>
  <c r="AZ28" i="102"/>
  <c r="AZ29" i="102"/>
  <c r="AZ30" i="102"/>
  <c r="AZ31" i="102"/>
  <c r="AZ32" i="102"/>
  <c r="AZ33" i="102"/>
  <c r="AZ34" i="102"/>
  <c r="AZ35" i="102"/>
  <c r="AZ36" i="102"/>
  <c r="AZ37" i="102"/>
  <c r="AZ38" i="102"/>
  <c r="AZ39" i="102"/>
  <c r="AZ40" i="102"/>
  <c r="AZ41" i="102"/>
  <c r="AZ42" i="102"/>
  <c r="AZ43" i="102"/>
  <c r="AZ44" i="102"/>
  <c r="AZ45" i="102"/>
  <c r="AZ46" i="102"/>
  <c r="AZ47" i="102"/>
  <c r="AZ48" i="102"/>
  <c r="AZ49" i="102"/>
  <c r="AZ50" i="102"/>
  <c r="AZ51" i="102"/>
  <c r="AZ52" i="102"/>
  <c r="AZ53" i="102"/>
  <c r="AZ54" i="102"/>
  <c r="AZ55" i="102"/>
  <c r="AZ56" i="102"/>
  <c r="AZ57" i="102"/>
  <c r="AZ58" i="102"/>
  <c r="AZ59" i="102"/>
  <c r="AZ60" i="102"/>
  <c r="AZ61" i="102"/>
  <c r="AZ62" i="102"/>
  <c r="AZ63" i="102"/>
  <c r="AZ64" i="102"/>
  <c r="AZ65" i="102"/>
  <c r="AZ66" i="102"/>
  <c r="AZ67" i="102"/>
  <c r="AZ68" i="102"/>
  <c r="AZ69" i="102"/>
  <c r="AZ70" i="102"/>
  <c r="AZ71" i="102"/>
  <c r="AZ72" i="102"/>
  <c r="AZ73" i="102"/>
  <c r="AZ74" i="102"/>
  <c r="AZ75" i="102"/>
  <c r="AZ76" i="102"/>
  <c r="AZ77" i="102"/>
  <c r="AZ78" i="102"/>
  <c r="AZ79" i="102"/>
  <c r="AZ80" i="102"/>
  <c r="AZ81" i="102"/>
  <c r="AZ82" i="102"/>
  <c r="AZ83" i="102"/>
  <c r="AZ84" i="102"/>
  <c r="AZ85" i="102"/>
  <c r="AZ86" i="102"/>
  <c r="AZ87" i="102"/>
  <c r="AZ88" i="102"/>
  <c r="AZ89" i="102"/>
  <c r="AZ90" i="102"/>
  <c r="AZ91" i="102"/>
  <c r="AZ92" i="102"/>
  <c r="AZ93" i="102"/>
  <c r="AZ94" i="102"/>
  <c r="AZ95" i="102"/>
  <c r="AZ96" i="102"/>
  <c r="AZ97" i="102"/>
  <c r="AZ98" i="102"/>
  <c r="AZ99" i="102"/>
  <c r="AZ100" i="102"/>
  <c r="AZ101" i="102"/>
  <c r="AZ102" i="102"/>
  <c r="AZ103" i="102"/>
  <c r="AZ104" i="102"/>
  <c r="AZ105" i="102"/>
  <c r="AZ106" i="102"/>
  <c r="AZ107" i="102"/>
  <c r="AZ108" i="102"/>
  <c r="AZ109" i="102"/>
  <c r="AZ4" i="102"/>
  <c r="AP47" i="25" l="1"/>
  <c r="X47" i="70" s="1"/>
  <c r="D46" i="17"/>
  <c r="C46" i="17"/>
  <c r="F46" i="70"/>
  <c r="G46" i="70" s="1"/>
  <c r="C44" i="17"/>
  <c r="C45" i="17"/>
  <c r="A113" i="54" l="1"/>
  <c r="D113" i="54"/>
  <c r="B113" i="54"/>
  <c r="F113" i="54"/>
  <c r="C113" i="54"/>
  <c r="AB46" i="70" s="1"/>
  <c r="F129" i="54" l="1"/>
  <c r="F106" i="54"/>
  <c r="F6" i="54"/>
  <c r="F3" i="54"/>
  <c r="F33" i="54"/>
  <c r="F10" i="54"/>
  <c r="F70" i="54"/>
  <c r="F69" i="54"/>
  <c r="D45" i="17" l="1"/>
  <c r="B29" i="53" l="1"/>
  <c r="B1109" i="53" l="1"/>
  <c r="B1108" i="53"/>
  <c r="AL53" i="25" l="1"/>
  <c r="AO53" i="25" s="1"/>
  <c r="AL46" i="25"/>
  <c r="AO46" i="25" s="1"/>
  <c r="AL45" i="25"/>
  <c r="AO45" i="25" s="1"/>
  <c r="AO50" i="95"/>
  <c r="AN50" i="95"/>
  <c r="AM50" i="95"/>
  <c r="AL50" i="95"/>
  <c r="AO50" i="94"/>
  <c r="AN50" i="94"/>
  <c r="AM50" i="94"/>
  <c r="AL50" i="94"/>
  <c r="AO50" i="93"/>
  <c r="AN50" i="93"/>
  <c r="AM50" i="93"/>
  <c r="AL50" i="93"/>
  <c r="AO50" i="92"/>
  <c r="AN50" i="92"/>
  <c r="AM50" i="92"/>
  <c r="AL50" i="92"/>
  <c r="AO50" i="91"/>
  <c r="AN50" i="91"/>
  <c r="AM50" i="91"/>
  <c r="AL50" i="91"/>
  <c r="AO50" i="90"/>
  <c r="AN50" i="90"/>
  <c r="AM50" i="90"/>
  <c r="AL50" i="90"/>
  <c r="AO50" i="89"/>
  <c r="AN50" i="89"/>
  <c r="AM50" i="89"/>
  <c r="AL50" i="89"/>
  <c r="AO50" i="88"/>
  <c r="AN50" i="88"/>
  <c r="AM50" i="88"/>
  <c r="AL50" i="88"/>
  <c r="AO50" i="87"/>
  <c r="AN50" i="87"/>
  <c r="AM50" i="87"/>
  <c r="AL50" i="87"/>
  <c r="AO50" i="86"/>
  <c r="AN50" i="86"/>
  <c r="AM50" i="86"/>
  <c r="AL50" i="86"/>
  <c r="AO50" i="85"/>
  <c r="AN50" i="85"/>
  <c r="AM50" i="85"/>
  <c r="AL50" i="85"/>
  <c r="AO50" i="84"/>
  <c r="AN50" i="84"/>
  <c r="AM50" i="84"/>
  <c r="AL50" i="84"/>
  <c r="AN50" i="83"/>
  <c r="AO50" i="83"/>
  <c r="AL50" i="83"/>
  <c r="AM50" i="83"/>
  <c r="AL50" i="82"/>
  <c r="AM50" i="82"/>
  <c r="AM50" i="81"/>
  <c r="AN50" i="81"/>
  <c r="AO50" i="81"/>
  <c r="AL50" i="81"/>
  <c r="AM50" i="80"/>
  <c r="AN50" i="80"/>
  <c r="AO50" i="80"/>
  <c r="AL50" i="80"/>
  <c r="AM50" i="79"/>
  <c r="AN50" i="79"/>
  <c r="AO50" i="79"/>
  <c r="AL50" i="79"/>
  <c r="AM50" i="78"/>
  <c r="AN50" i="78"/>
  <c r="AO50" i="78"/>
  <c r="AL50" i="78"/>
  <c r="AM50" i="77"/>
  <c r="AN50" i="77"/>
  <c r="AO50" i="77"/>
  <c r="AL50" i="77"/>
  <c r="AM50" i="76"/>
  <c r="AN50" i="76"/>
  <c r="AO50" i="76"/>
  <c r="AL50" i="76"/>
  <c r="AM50" i="75"/>
  <c r="AN50" i="75"/>
  <c r="AO50" i="75"/>
  <c r="AL50" i="75"/>
  <c r="AM50" i="74"/>
  <c r="AN50" i="74"/>
  <c r="AO50" i="74"/>
  <c r="AL50" i="74"/>
  <c r="AM50" i="73"/>
  <c r="AN50" i="73"/>
  <c r="AO50" i="73"/>
  <c r="AL50" i="73"/>
  <c r="AM50" i="72"/>
  <c r="AN50" i="72"/>
  <c r="AO50" i="72"/>
  <c r="AL50" i="72"/>
  <c r="AM50" i="7"/>
  <c r="AN50" i="7"/>
  <c r="AO50" i="7"/>
  <c r="AL50" i="7"/>
  <c r="AM50" i="101"/>
  <c r="AN50" i="101"/>
  <c r="AO50" i="101"/>
  <c r="AL50" i="101"/>
  <c r="AL50" i="99"/>
  <c r="AM50" i="98"/>
  <c r="AN50" i="98"/>
  <c r="AO50" i="98"/>
  <c r="AL50" i="98"/>
  <c r="AM50" i="97"/>
  <c r="AN50" i="97"/>
  <c r="AO50" i="97"/>
  <c r="AL50" i="97"/>
  <c r="AM50" i="96"/>
  <c r="AN50" i="96"/>
  <c r="AO50" i="96"/>
  <c r="AL50" i="96"/>
  <c r="BZ32" i="6"/>
  <c r="CA32" i="6"/>
  <c r="BY32" i="6"/>
  <c r="BH92" i="6"/>
  <c r="BH93" i="6"/>
  <c r="BH94" i="6"/>
  <c r="BH95" i="6"/>
  <c r="BH96" i="6"/>
  <c r="D49" i="6"/>
  <c r="D43" i="6"/>
  <c r="D90" i="6" s="1"/>
  <c r="F53" i="70"/>
  <c r="G53" i="70" s="1"/>
  <c r="C48" i="17"/>
  <c r="AC53" i="70"/>
  <c r="B1130" i="53" s="1"/>
  <c r="AC46" i="70"/>
  <c r="AL40" i="17"/>
  <c r="AL39" i="17"/>
  <c r="A49" i="95"/>
  <c r="B49" i="95"/>
  <c r="C49" i="95"/>
  <c r="D49" i="95"/>
  <c r="A43" i="95"/>
  <c r="B43" i="95"/>
  <c r="C43" i="95"/>
  <c r="D43" i="95"/>
  <c r="AK44" i="17"/>
  <c r="AL44" i="17"/>
  <c r="AM44" i="17"/>
  <c r="A49" i="94"/>
  <c r="B49" i="94"/>
  <c r="C49" i="94"/>
  <c r="D49" i="94"/>
  <c r="A43" i="94"/>
  <c r="B43" i="94"/>
  <c r="C43" i="94"/>
  <c r="D43" i="94"/>
  <c r="A49" i="93"/>
  <c r="B49" i="93"/>
  <c r="C49" i="93"/>
  <c r="D49" i="93"/>
  <c r="A43" i="93"/>
  <c r="B43" i="93"/>
  <c r="C43" i="93"/>
  <c r="D43" i="93"/>
  <c r="A49" i="92"/>
  <c r="B49" i="92"/>
  <c r="C49" i="92"/>
  <c r="D49" i="92"/>
  <c r="A43" i="92"/>
  <c r="B43" i="92"/>
  <c r="C43" i="92"/>
  <c r="D43" i="92"/>
  <c r="A49" i="91"/>
  <c r="B49" i="91"/>
  <c r="C49" i="91"/>
  <c r="D49" i="91"/>
  <c r="A43" i="91"/>
  <c r="B43" i="91"/>
  <c r="C43" i="91"/>
  <c r="D43" i="91"/>
  <c r="A49" i="90"/>
  <c r="B49" i="90"/>
  <c r="C49" i="90"/>
  <c r="D49" i="90"/>
  <c r="A43" i="90"/>
  <c r="B43" i="90"/>
  <c r="C43" i="90"/>
  <c r="D43" i="90"/>
  <c r="A49" i="89"/>
  <c r="B49" i="89"/>
  <c r="C49" i="89"/>
  <c r="D49" i="89"/>
  <c r="A43" i="89"/>
  <c r="B43" i="89"/>
  <c r="C43" i="89"/>
  <c r="D43" i="89"/>
  <c r="A49" i="88"/>
  <c r="B49" i="88"/>
  <c r="C49" i="88"/>
  <c r="D49" i="88"/>
  <c r="A43" i="88"/>
  <c r="B43" i="88"/>
  <c r="C43" i="88"/>
  <c r="D43" i="88"/>
  <c r="A49" i="87"/>
  <c r="B49" i="87"/>
  <c r="C49" i="87"/>
  <c r="D49" i="87"/>
  <c r="A43" i="87"/>
  <c r="B43" i="87"/>
  <c r="C43" i="87"/>
  <c r="D43" i="87"/>
  <c r="A49" i="86"/>
  <c r="B49" i="86"/>
  <c r="C49" i="86"/>
  <c r="D49" i="86"/>
  <c r="A43" i="86"/>
  <c r="B43" i="86"/>
  <c r="C43" i="86"/>
  <c r="D43" i="86"/>
  <c r="A49" i="85"/>
  <c r="B49" i="85"/>
  <c r="C49" i="85"/>
  <c r="D49" i="85"/>
  <c r="A43" i="85"/>
  <c r="B43" i="85"/>
  <c r="C43" i="85"/>
  <c r="D43" i="85"/>
  <c r="A49" i="84"/>
  <c r="B49" i="84"/>
  <c r="C49" i="84"/>
  <c r="D49" i="84"/>
  <c r="A43" i="84"/>
  <c r="B43" i="84"/>
  <c r="C43" i="84"/>
  <c r="D43" i="84"/>
  <c r="A49" i="83"/>
  <c r="B49" i="83"/>
  <c r="C49" i="83"/>
  <c r="D49" i="83"/>
  <c r="A43" i="83"/>
  <c r="B43" i="83"/>
  <c r="C43" i="83"/>
  <c r="D43" i="83"/>
  <c r="A49" i="82"/>
  <c r="B49" i="82"/>
  <c r="C49" i="82"/>
  <c r="D49" i="82"/>
  <c r="A43" i="82"/>
  <c r="B43" i="82"/>
  <c r="C43" i="82"/>
  <c r="D43" i="82"/>
  <c r="A49" i="81"/>
  <c r="B49" i="81"/>
  <c r="C49" i="81"/>
  <c r="D49" i="81"/>
  <c r="A43" i="81"/>
  <c r="B43" i="81"/>
  <c r="C43" i="81"/>
  <c r="D43" i="81"/>
  <c r="A49" i="80"/>
  <c r="B49" i="80"/>
  <c r="C49" i="80"/>
  <c r="D49" i="80"/>
  <c r="A43" i="80"/>
  <c r="B43" i="80"/>
  <c r="C43" i="80"/>
  <c r="D43" i="80"/>
  <c r="A49" i="79"/>
  <c r="B49" i="79"/>
  <c r="C49" i="79"/>
  <c r="D49" i="79"/>
  <c r="A43" i="79"/>
  <c r="B43" i="79"/>
  <c r="C43" i="79"/>
  <c r="D43" i="79"/>
  <c r="A49" i="78"/>
  <c r="B49" i="78"/>
  <c r="C49" i="78"/>
  <c r="D49" i="78"/>
  <c r="A43" i="78"/>
  <c r="B43" i="78"/>
  <c r="C43" i="78"/>
  <c r="D43" i="78"/>
  <c r="A49" i="77"/>
  <c r="B49" i="77"/>
  <c r="C49" i="77"/>
  <c r="D49" i="77"/>
  <c r="A43" i="77"/>
  <c r="B43" i="77"/>
  <c r="C43" i="77"/>
  <c r="D43" i="77"/>
  <c r="A49" i="76"/>
  <c r="B49" i="76"/>
  <c r="C49" i="76"/>
  <c r="D49" i="76"/>
  <c r="A43" i="76"/>
  <c r="B43" i="76"/>
  <c r="C43" i="76"/>
  <c r="D43" i="76"/>
  <c r="A49" i="75"/>
  <c r="B49" i="75"/>
  <c r="C49" i="75"/>
  <c r="D49" i="75"/>
  <c r="A43" i="75"/>
  <c r="B43" i="75"/>
  <c r="C43" i="75"/>
  <c r="D43" i="75"/>
  <c r="A49" i="74"/>
  <c r="B49" i="74"/>
  <c r="C49" i="74"/>
  <c r="D49" i="74"/>
  <c r="A43" i="74"/>
  <c r="B43" i="74"/>
  <c r="C43" i="74"/>
  <c r="D43" i="74"/>
  <c r="A49" i="73"/>
  <c r="B49" i="73"/>
  <c r="C49" i="73"/>
  <c r="D49" i="73"/>
  <c r="A43" i="73"/>
  <c r="B43" i="73"/>
  <c r="C43" i="73"/>
  <c r="D43" i="73"/>
  <c r="A49" i="72"/>
  <c r="B49" i="72"/>
  <c r="C49" i="72"/>
  <c r="D49" i="72"/>
  <c r="A43" i="72"/>
  <c r="B43" i="72"/>
  <c r="C43" i="72"/>
  <c r="D43" i="72"/>
  <c r="A49" i="7"/>
  <c r="B49" i="7"/>
  <c r="C49" i="7"/>
  <c r="D49" i="7"/>
  <c r="A43" i="7"/>
  <c r="B43" i="7"/>
  <c r="C43" i="7"/>
  <c r="D43" i="7"/>
  <c r="A49" i="100"/>
  <c r="B49" i="100"/>
  <c r="C49" i="100"/>
  <c r="D49" i="100"/>
  <c r="A43" i="100"/>
  <c r="B43" i="100"/>
  <c r="C43" i="100"/>
  <c r="D43" i="100"/>
  <c r="A49" i="101"/>
  <c r="B49" i="101"/>
  <c r="C49" i="101"/>
  <c r="D49" i="101"/>
  <c r="A43" i="101"/>
  <c r="B43" i="101"/>
  <c r="C43" i="101"/>
  <c r="D43" i="101"/>
  <c r="A49" i="99"/>
  <c r="B49" i="99"/>
  <c r="C49" i="99"/>
  <c r="D49" i="99"/>
  <c r="A43" i="99"/>
  <c r="B43" i="99"/>
  <c r="C43" i="99"/>
  <c r="D43" i="99"/>
  <c r="A49" i="98"/>
  <c r="B49" i="98"/>
  <c r="C49" i="98"/>
  <c r="D49" i="98"/>
  <c r="A43" i="98"/>
  <c r="B43" i="98"/>
  <c r="C43" i="98"/>
  <c r="D43" i="98"/>
  <c r="A49" i="97"/>
  <c r="B49" i="97"/>
  <c r="C49" i="97"/>
  <c r="D49" i="97"/>
  <c r="A42" i="97"/>
  <c r="B42" i="97"/>
  <c r="C42" i="97"/>
  <c r="D42" i="97"/>
  <c r="B49" i="96"/>
  <c r="C49" i="96"/>
  <c r="D49" i="96"/>
  <c r="A43" i="96"/>
  <c r="B43" i="96"/>
  <c r="C43" i="96"/>
  <c r="D43" i="96"/>
  <c r="A42" i="96"/>
  <c r="B42" i="96"/>
  <c r="C42" i="96"/>
  <c r="D42" i="96"/>
  <c r="A45" i="96"/>
  <c r="B45" i="96"/>
  <c r="C45" i="96"/>
  <c r="D45" i="96"/>
  <c r="A46" i="96"/>
  <c r="B46" i="96"/>
  <c r="C46" i="96"/>
  <c r="D46" i="96"/>
  <c r="A47" i="96"/>
  <c r="B47" i="96"/>
  <c r="C47" i="96"/>
  <c r="D47" i="96"/>
  <c r="A48" i="96"/>
  <c r="B48" i="96"/>
  <c r="C48" i="96"/>
  <c r="D48" i="96"/>
  <c r="C41" i="96"/>
  <c r="B49" i="6"/>
  <c r="B96" i="6" s="1"/>
  <c r="C49" i="6"/>
  <c r="C96" i="6" s="1"/>
  <c r="B43" i="6"/>
  <c r="B90" i="6" s="1"/>
  <c r="C43" i="6"/>
  <c r="C90" i="6" s="1"/>
  <c r="D52" i="17"/>
  <c r="C52" i="17"/>
  <c r="B51" i="17"/>
  <c r="B52" i="17"/>
  <c r="AK52" i="17"/>
  <c r="AJ52" i="17" s="1"/>
  <c r="AL52" i="17"/>
  <c r="AM52" i="17"/>
  <c r="AK45" i="17"/>
  <c r="AL45" i="17"/>
  <c r="AM45" i="17"/>
  <c r="A14" i="96"/>
  <c r="A15" i="96"/>
  <c r="A16" i="96"/>
  <c r="A17" i="96"/>
  <c r="A18" i="96"/>
  <c r="D48" i="95"/>
  <c r="C48" i="95"/>
  <c r="B48" i="95"/>
  <c r="A48" i="95"/>
  <c r="D47" i="95"/>
  <c r="C47" i="95"/>
  <c r="B47" i="95"/>
  <c r="A47" i="95"/>
  <c r="D46" i="95"/>
  <c r="C46" i="95"/>
  <c r="B46" i="95"/>
  <c r="A46" i="95"/>
  <c r="D45" i="95"/>
  <c r="C45" i="95"/>
  <c r="B45" i="95"/>
  <c r="D42" i="95"/>
  <c r="C42" i="95"/>
  <c r="B42" i="95"/>
  <c r="A42" i="95"/>
  <c r="D41" i="95"/>
  <c r="C41" i="95"/>
  <c r="B41" i="95"/>
  <c r="A41" i="95"/>
  <c r="D40" i="95"/>
  <c r="C40" i="95"/>
  <c r="B40" i="95"/>
  <c r="A40" i="95"/>
  <c r="D39" i="95"/>
  <c r="C39" i="95"/>
  <c r="B39" i="95"/>
  <c r="A39" i="95"/>
  <c r="D38" i="95"/>
  <c r="C38" i="95"/>
  <c r="B38" i="95"/>
  <c r="A38" i="95"/>
  <c r="D37" i="95"/>
  <c r="C37" i="95"/>
  <c r="B37" i="95"/>
  <c r="A37" i="95"/>
  <c r="D36" i="95"/>
  <c r="C36" i="95"/>
  <c r="B36" i="95"/>
  <c r="A36" i="95"/>
  <c r="D35" i="95"/>
  <c r="C35" i="95"/>
  <c r="B35" i="95"/>
  <c r="A35" i="95"/>
  <c r="D34" i="95"/>
  <c r="C34" i="95"/>
  <c r="B34" i="95"/>
  <c r="A34" i="95"/>
  <c r="D33" i="95"/>
  <c r="C33" i="95"/>
  <c r="B33" i="95"/>
  <c r="A33" i="95"/>
  <c r="D32" i="95"/>
  <c r="C32" i="95"/>
  <c r="B32" i="95"/>
  <c r="A32" i="95"/>
  <c r="D31" i="95"/>
  <c r="C31" i="95"/>
  <c r="B31" i="95"/>
  <c r="A31" i="95"/>
  <c r="D30" i="95"/>
  <c r="C30" i="95"/>
  <c r="B30" i="95"/>
  <c r="A30" i="95"/>
  <c r="D29" i="95"/>
  <c r="C29" i="95"/>
  <c r="B29" i="95"/>
  <c r="A29" i="95"/>
  <c r="D28" i="95"/>
  <c r="C28" i="95"/>
  <c r="B28" i="95"/>
  <c r="A28" i="95"/>
  <c r="D27" i="95"/>
  <c r="C27" i="95"/>
  <c r="B27" i="95"/>
  <c r="A27" i="95"/>
  <c r="D26" i="95"/>
  <c r="C26" i="95"/>
  <c r="B26" i="95"/>
  <c r="A26" i="95"/>
  <c r="D25" i="95"/>
  <c r="C25" i="95"/>
  <c r="B25" i="95"/>
  <c r="A25" i="95"/>
  <c r="D24" i="95"/>
  <c r="C24" i="95"/>
  <c r="B24" i="95"/>
  <c r="A24" i="95"/>
  <c r="D23" i="95"/>
  <c r="C23" i="95"/>
  <c r="B23" i="95"/>
  <c r="A23" i="95"/>
  <c r="D22" i="95"/>
  <c r="C22" i="95"/>
  <c r="B22" i="95"/>
  <c r="A22" i="95"/>
  <c r="D21" i="95"/>
  <c r="C21" i="95"/>
  <c r="B21" i="95"/>
  <c r="A21" i="95"/>
  <c r="D20" i="95"/>
  <c r="C20" i="95"/>
  <c r="B20" i="95"/>
  <c r="A20" i="95"/>
  <c r="D19" i="95"/>
  <c r="C19" i="95"/>
  <c r="B19" i="95"/>
  <c r="A19" i="95"/>
  <c r="D18" i="95"/>
  <c r="C18" i="95"/>
  <c r="B18" i="95"/>
  <c r="A18" i="95"/>
  <c r="D17" i="95"/>
  <c r="C17" i="95"/>
  <c r="B17" i="95"/>
  <c r="D16" i="95"/>
  <c r="C16" i="95"/>
  <c r="B16" i="95"/>
  <c r="A16" i="95"/>
  <c r="D15" i="95"/>
  <c r="C15" i="95"/>
  <c r="B15" i="95"/>
  <c r="D14" i="95"/>
  <c r="C14" i="95"/>
  <c r="B14" i="95"/>
  <c r="A14" i="95"/>
  <c r="D13" i="95"/>
  <c r="C13" i="95"/>
  <c r="B13" i="95"/>
  <c r="A13" i="95"/>
  <c r="D12" i="95"/>
  <c r="C12" i="95"/>
  <c r="B12" i="95"/>
  <c r="A12" i="95"/>
  <c r="D11" i="95"/>
  <c r="C11" i="95"/>
  <c r="B11" i="95"/>
  <c r="A11" i="95"/>
  <c r="D10" i="95"/>
  <c r="C10" i="95"/>
  <c r="B10" i="95"/>
  <c r="A10" i="95"/>
  <c r="D9" i="95"/>
  <c r="C9" i="95"/>
  <c r="B9" i="95"/>
  <c r="A9" i="95"/>
  <c r="D8" i="95"/>
  <c r="C8" i="95"/>
  <c r="B8" i="95"/>
  <c r="A8" i="95"/>
  <c r="D7" i="95"/>
  <c r="C7" i="95"/>
  <c r="B7" i="95"/>
  <c r="A7" i="95"/>
  <c r="D6" i="95"/>
  <c r="C6" i="95"/>
  <c r="B6" i="95"/>
  <c r="A6" i="95"/>
  <c r="D48" i="94"/>
  <c r="C48" i="94"/>
  <c r="B48" i="94"/>
  <c r="A48" i="94"/>
  <c r="D47" i="94"/>
  <c r="C47" i="94"/>
  <c r="B47" i="94"/>
  <c r="A47" i="94"/>
  <c r="D46" i="94"/>
  <c r="C46" i="94"/>
  <c r="B46" i="94"/>
  <c r="A46" i="94"/>
  <c r="D45" i="94"/>
  <c r="C45" i="94"/>
  <c r="B45" i="94"/>
  <c r="D42" i="94"/>
  <c r="C42" i="94"/>
  <c r="B42" i="94"/>
  <c r="A42" i="94"/>
  <c r="D41" i="94"/>
  <c r="C41" i="94"/>
  <c r="B41" i="94"/>
  <c r="A41" i="94"/>
  <c r="D40" i="94"/>
  <c r="C40" i="94"/>
  <c r="B40" i="94"/>
  <c r="A40" i="94"/>
  <c r="D39" i="94"/>
  <c r="C39" i="94"/>
  <c r="B39" i="94"/>
  <c r="A39" i="94"/>
  <c r="D38" i="94"/>
  <c r="C38" i="94"/>
  <c r="B38" i="94"/>
  <c r="A38" i="94"/>
  <c r="D37" i="94"/>
  <c r="C37" i="94"/>
  <c r="B37" i="94"/>
  <c r="A37" i="94"/>
  <c r="D36" i="94"/>
  <c r="C36" i="94"/>
  <c r="B36" i="94"/>
  <c r="A36" i="94"/>
  <c r="D35" i="94"/>
  <c r="C35" i="94"/>
  <c r="B35" i="94"/>
  <c r="A35" i="94"/>
  <c r="D34" i="94"/>
  <c r="C34" i="94"/>
  <c r="B34" i="94"/>
  <c r="A34" i="94"/>
  <c r="D33" i="94"/>
  <c r="C33" i="94"/>
  <c r="B33" i="94"/>
  <c r="A33" i="94"/>
  <c r="D32" i="94"/>
  <c r="C32" i="94"/>
  <c r="B32" i="94"/>
  <c r="A32" i="94"/>
  <c r="D31" i="94"/>
  <c r="C31" i="94"/>
  <c r="B31" i="94"/>
  <c r="A31" i="94"/>
  <c r="D30" i="94"/>
  <c r="C30" i="94"/>
  <c r="B30" i="94"/>
  <c r="A30" i="94"/>
  <c r="D29" i="94"/>
  <c r="C29" i="94"/>
  <c r="B29" i="94"/>
  <c r="A29" i="94"/>
  <c r="D28" i="94"/>
  <c r="C28" i="94"/>
  <c r="B28" i="94"/>
  <c r="A28" i="94"/>
  <c r="D27" i="94"/>
  <c r="C27" i="94"/>
  <c r="B27" i="94"/>
  <c r="A27" i="94"/>
  <c r="D26" i="94"/>
  <c r="C26" i="94"/>
  <c r="B26" i="94"/>
  <c r="A26" i="94"/>
  <c r="D25" i="94"/>
  <c r="C25" i="94"/>
  <c r="B25" i="94"/>
  <c r="A25" i="94"/>
  <c r="D24" i="94"/>
  <c r="C24" i="94"/>
  <c r="B24" i="94"/>
  <c r="A24" i="94"/>
  <c r="D23" i="94"/>
  <c r="C23" i="94"/>
  <c r="B23" i="94"/>
  <c r="A23" i="94"/>
  <c r="D22" i="94"/>
  <c r="C22" i="94"/>
  <c r="B22" i="94"/>
  <c r="A22" i="94"/>
  <c r="D21" i="94"/>
  <c r="C21" i="94"/>
  <c r="B21" i="94"/>
  <c r="A21" i="94"/>
  <c r="D20" i="94"/>
  <c r="C20" i="94"/>
  <c r="B20" i="94"/>
  <c r="A20" i="94"/>
  <c r="D19" i="94"/>
  <c r="C19" i="94"/>
  <c r="B19" i="94"/>
  <c r="A19" i="94"/>
  <c r="D18" i="94"/>
  <c r="C18" i="94"/>
  <c r="B18" i="94"/>
  <c r="A18" i="94"/>
  <c r="D17" i="94"/>
  <c r="C17" i="94"/>
  <c r="B17" i="94"/>
  <c r="D16" i="94"/>
  <c r="C16" i="94"/>
  <c r="B16" i="94"/>
  <c r="A16" i="94"/>
  <c r="D15" i="94"/>
  <c r="C15" i="94"/>
  <c r="B15" i="94"/>
  <c r="D14" i="94"/>
  <c r="C14" i="94"/>
  <c r="B14" i="94"/>
  <c r="A14" i="94"/>
  <c r="D13" i="94"/>
  <c r="C13" i="94"/>
  <c r="B13" i="94"/>
  <c r="A13" i="94"/>
  <c r="D12" i="94"/>
  <c r="C12" i="94"/>
  <c r="B12" i="94"/>
  <c r="A12" i="94"/>
  <c r="D11" i="94"/>
  <c r="C11" i="94"/>
  <c r="B11" i="94"/>
  <c r="A11" i="94"/>
  <c r="D10" i="94"/>
  <c r="C10" i="94"/>
  <c r="B10" i="94"/>
  <c r="A10" i="94"/>
  <c r="D9" i="94"/>
  <c r="C9" i="94"/>
  <c r="B9" i="94"/>
  <c r="A9" i="94"/>
  <c r="D8" i="94"/>
  <c r="C8" i="94"/>
  <c r="B8" i="94"/>
  <c r="A8" i="94"/>
  <c r="D7" i="94"/>
  <c r="C7" i="94"/>
  <c r="B7" i="94"/>
  <c r="A7" i="94"/>
  <c r="D6" i="94"/>
  <c r="C6" i="94"/>
  <c r="B6" i="94"/>
  <c r="A6" i="94"/>
  <c r="D48" i="93"/>
  <c r="C48" i="93"/>
  <c r="B48" i="93"/>
  <c r="A48" i="93"/>
  <c r="D47" i="93"/>
  <c r="C47" i="93"/>
  <c r="B47" i="93"/>
  <c r="A47" i="93"/>
  <c r="D46" i="93"/>
  <c r="C46" i="93"/>
  <c r="B46" i="93"/>
  <c r="A46" i="93"/>
  <c r="D45" i="93"/>
  <c r="C45" i="93"/>
  <c r="B45" i="93"/>
  <c r="D42" i="93"/>
  <c r="C42" i="93"/>
  <c r="B42" i="93"/>
  <c r="A42" i="93"/>
  <c r="D41" i="93"/>
  <c r="C41" i="93"/>
  <c r="B41" i="93"/>
  <c r="A41" i="93"/>
  <c r="D40" i="93"/>
  <c r="C40" i="93"/>
  <c r="B40" i="93"/>
  <c r="A40" i="93"/>
  <c r="D39" i="93"/>
  <c r="C39" i="93"/>
  <c r="B39" i="93"/>
  <c r="A39" i="93"/>
  <c r="D38" i="93"/>
  <c r="C38" i="93"/>
  <c r="B38" i="93"/>
  <c r="A38" i="93"/>
  <c r="D37" i="93"/>
  <c r="C37" i="93"/>
  <c r="B37" i="93"/>
  <c r="A37" i="93"/>
  <c r="D36" i="93"/>
  <c r="C36" i="93"/>
  <c r="B36" i="93"/>
  <c r="A36" i="93"/>
  <c r="D35" i="93"/>
  <c r="C35" i="93"/>
  <c r="B35" i="93"/>
  <c r="A35" i="93"/>
  <c r="D34" i="93"/>
  <c r="C34" i="93"/>
  <c r="B34" i="93"/>
  <c r="A34" i="93"/>
  <c r="D33" i="93"/>
  <c r="C33" i="93"/>
  <c r="B33" i="93"/>
  <c r="A33" i="93"/>
  <c r="D32" i="93"/>
  <c r="C32" i="93"/>
  <c r="B32" i="93"/>
  <c r="A32" i="93"/>
  <c r="D31" i="93"/>
  <c r="C31" i="93"/>
  <c r="B31" i="93"/>
  <c r="A31" i="93"/>
  <c r="D30" i="93"/>
  <c r="C30" i="93"/>
  <c r="B30" i="93"/>
  <c r="A30" i="93"/>
  <c r="D29" i="93"/>
  <c r="C29" i="93"/>
  <c r="B29" i="93"/>
  <c r="A29" i="93"/>
  <c r="D28" i="93"/>
  <c r="C28" i="93"/>
  <c r="B28" i="93"/>
  <c r="A28" i="93"/>
  <c r="D27" i="93"/>
  <c r="C27" i="93"/>
  <c r="B27" i="93"/>
  <c r="A27" i="93"/>
  <c r="D26" i="93"/>
  <c r="C26" i="93"/>
  <c r="B26" i="93"/>
  <c r="A26" i="93"/>
  <c r="D25" i="93"/>
  <c r="C25" i="93"/>
  <c r="B25" i="93"/>
  <c r="A25" i="93"/>
  <c r="D24" i="93"/>
  <c r="C24" i="93"/>
  <c r="B24" i="93"/>
  <c r="A24" i="93"/>
  <c r="D23" i="93"/>
  <c r="C23" i="93"/>
  <c r="B23" i="93"/>
  <c r="A23" i="93"/>
  <c r="D22" i="93"/>
  <c r="C22" i="93"/>
  <c r="B22" i="93"/>
  <c r="A22" i="93"/>
  <c r="D21" i="93"/>
  <c r="C21" i="93"/>
  <c r="B21" i="93"/>
  <c r="A21" i="93"/>
  <c r="D20" i="93"/>
  <c r="C20" i="93"/>
  <c r="B20" i="93"/>
  <c r="A20" i="93"/>
  <c r="D19" i="93"/>
  <c r="C19" i="93"/>
  <c r="B19" i="93"/>
  <c r="A19" i="93"/>
  <c r="D18" i="93"/>
  <c r="C18" i="93"/>
  <c r="B18" i="93"/>
  <c r="A18" i="93"/>
  <c r="D17" i="93"/>
  <c r="C17" i="93"/>
  <c r="B17" i="93"/>
  <c r="D16" i="93"/>
  <c r="C16" i="93"/>
  <c r="B16" i="93"/>
  <c r="A16" i="93"/>
  <c r="D15" i="93"/>
  <c r="C15" i="93"/>
  <c r="B15" i="93"/>
  <c r="D14" i="93"/>
  <c r="C14" i="93"/>
  <c r="B14" i="93"/>
  <c r="A14" i="93"/>
  <c r="D13" i="93"/>
  <c r="C13" i="93"/>
  <c r="B13" i="93"/>
  <c r="A13" i="93"/>
  <c r="D12" i="93"/>
  <c r="C12" i="93"/>
  <c r="B12" i="93"/>
  <c r="A12" i="93"/>
  <c r="D11" i="93"/>
  <c r="C11" i="93"/>
  <c r="B11" i="93"/>
  <c r="A11" i="93"/>
  <c r="D10" i="93"/>
  <c r="C10" i="93"/>
  <c r="B10" i="93"/>
  <c r="A10" i="93"/>
  <c r="D9" i="93"/>
  <c r="C9" i="93"/>
  <c r="B9" i="93"/>
  <c r="A9" i="93"/>
  <c r="D8" i="93"/>
  <c r="C8" i="93"/>
  <c r="B8" i="93"/>
  <c r="A8" i="93"/>
  <c r="D7" i="93"/>
  <c r="C7" i="93"/>
  <c r="B7" i="93"/>
  <c r="A7" i="93"/>
  <c r="D6" i="93"/>
  <c r="C6" i="93"/>
  <c r="B6" i="93"/>
  <c r="A6" i="93"/>
  <c r="D48" i="92"/>
  <c r="C48" i="92"/>
  <c r="B48" i="92"/>
  <c r="A48" i="92"/>
  <c r="D47" i="92"/>
  <c r="C47" i="92"/>
  <c r="B47" i="92"/>
  <c r="A47" i="92"/>
  <c r="D46" i="92"/>
  <c r="C46" i="92"/>
  <c r="B46" i="92"/>
  <c r="A46" i="92"/>
  <c r="D45" i="92"/>
  <c r="C45" i="92"/>
  <c r="B45" i="92"/>
  <c r="D42" i="92"/>
  <c r="C42" i="92"/>
  <c r="B42" i="92"/>
  <c r="A42" i="92"/>
  <c r="D41" i="92"/>
  <c r="C41" i="92"/>
  <c r="B41" i="92"/>
  <c r="A41" i="92"/>
  <c r="D40" i="92"/>
  <c r="C40" i="92"/>
  <c r="B40" i="92"/>
  <c r="A40" i="92"/>
  <c r="D39" i="92"/>
  <c r="C39" i="92"/>
  <c r="B39" i="92"/>
  <c r="A39" i="92"/>
  <c r="D38" i="92"/>
  <c r="C38" i="92"/>
  <c r="B38" i="92"/>
  <c r="A38" i="92"/>
  <c r="D37" i="92"/>
  <c r="C37" i="92"/>
  <c r="B37" i="92"/>
  <c r="A37" i="92"/>
  <c r="D36" i="92"/>
  <c r="C36" i="92"/>
  <c r="B36" i="92"/>
  <c r="A36" i="92"/>
  <c r="D35" i="92"/>
  <c r="C35" i="92"/>
  <c r="B35" i="92"/>
  <c r="A35" i="92"/>
  <c r="D34" i="92"/>
  <c r="C34" i="92"/>
  <c r="B34" i="92"/>
  <c r="A34" i="92"/>
  <c r="D33" i="92"/>
  <c r="C33" i="92"/>
  <c r="B33" i="92"/>
  <c r="A33" i="92"/>
  <c r="D32" i="92"/>
  <c r="C32" i="92"/>
  <c r="B32" i="92"/>
  <c r="A32" i="92"/>
  <c r="D31" i="92"/>
  <c r="C31" i="92"/>
  <c r="B31" i="92"/>
  <c r="A31" i="92"/>
  <c r="D30" i="92"/>
  <c r="C30" i="92"/>
  <c r="B30" i="92"/>
  <c r="A30" i="92"/>
  <c r="D29" i="92"/>
  <c r="C29" i="92"/>
  <c r="B29" i="92"/>
  <c r="A29" i="92"/>
  <c r="D28" i="92"/>
  <c r="C28" i="92"/>
  <c r="B28" i="92"/>
  <c r="A28" i="92"/>
  <c r="D27" i="92"/>
  <c r="C27" i="92"/>
  <c r="B27" i="92"/>
  <c r="A27" i="92"/>
  <c r="D26" i="92"/>
  <c r="C26" i="92"/>
  <c r="B26" i="92"/>
  <c r="A26" i="92"/>
  <c r="D25" i="92"/>
  <c r="C25" i="92"/>
  <c r="B25" i="92"/>
  <c r="A25" i="92"/>
  <c r="D24" i="92"/>
  <c r="C24" i="92"/>
  <c r="B24" i="92"/>
  <c r="A24" i="92"/>
  <c r="D23" i="92"/>
  <c r="C23" i="92"/>
  <c r="B23" i="92"/>
  <c r="A23" i="92"/>
  <c r="D22" i="92"/>
  <c r="C22" i="92"/>
  <c r="B22" i="92"/>
  <c r="A22" i="92"/>
  <c r="D21" i="92"/>
  <c r="C21" i="92"/>
  <c r="B21" i="92"/>
  <c r="A21" i="92"/>
  <c r="D20" i="92"/>
  <c r="C20" i="92"/>
  <c r="B20" i="92"/>
  <c r="A20" i="92"/>
  <c r="D19" i="92"/>
  <c r="C19" i="92"/>
  <c r="B19" i="92"/>
  <c r="A19" i="92"/>
  <c r="D18" i="92"/>
  <c r="C18" i="92"/>
  <c r="B18" i="92"/>
  <c r="A18" i="92"/>
  <c r="D17" i="92"/>
  <c r="C17" i="92"/>
  <c r="B17" i="92"/>
  <c r="D16" i="92"/>
  <c r="C16" i="92"/>
  <c r="B16" i="92"/>
  <c r="A16" i="92"/>
  <c r="D15" i="92"/>
  <c r="C15" i="92"/>
  <c r="B15" i="92"/>
  <c r="D14" i="92"/>
  <c r="C14" i="92"/>
  <c r="B14" i="92"/>
  <c r="A14" i="92"/>
  <c r="D13" i="92"/>
  <c r="C13" i="92"/>
  <c r="B13" i="92"/>
  <c r="A13" i="92"/>
  <c r="D12" i="92"/>
  <c r="C12" i="92"/>
  <c r="B12" i="92"/>
  <c r="A12" i="92"/>
  <c r="D11" i="92"/>
  <c r="C11" i="92"/>
  <c r="B11" i="92"/>
  <c r="A11" i="92"/>
  <c r="D10" i="92"/>
  <c r="C10" i="92"/>
  <c r="B10" i="92"/>
  <c r="A10" i="92"/>
  <c r="D9" i="92"/>
  <c r="C9" i="92"/>
  <c r="B9" i="92"/>
  <c r="A9" i="92"/>
  <c r="D8" i="92"/>
  <c r="C8" i="92"/>
  <c r="B8" i="92"/>
  <c r="A8" i="92"/>
  <c r="D7" i="92"/>
  <c r="C7" i="92"/>
  <c r="B7" i="92"/>
  <c r="A7" i="92"/>
  <c r="D6" i="92"/>
  <c r="C6" i="92"/>
  <c r="B6" i="92"/>
  <c r="A6" i="92"/>
  <c r="D48" i="91"/>
  <c r="C48" i="91"/>
  <c r="B48" i="91"/>
  <c r="A48" i="91"/>
  <c r="D47" i="91"/>
  <c r="C47" i="91"/>
  <c r="B47" i="91"/>
  <c r="A47" i="91"/>
  <c r="D46" i="91"/>
  <c r="C46" i="91"/>
  <c r="B46" i="91"/>
  <c r="A46" i="91"/>
  <c r="D45" i="91"/>
  <c r="C45" i="91"/>
  <c r="B45" i="91"/>
  <c r="D42" i="91"/>
  <c r="C42" i="91"/>
  <c r="B42" i="91"/>
  <c r="A42" i="91"/>
  <c r="D41" i="91"/>
  <c r="C41" i="91"/>
  <c r="B41" i="91"/>
  <c r="A41" i="91"/>
  <c r="D40" i="91"/>
  <c r="C40" i="91"/>
  <c r="B40" i="91"/>
  <c r="A40" i="91"/>
  <c r="D39" i="91"/>
  <c r="C39" i="91"/>
  <c r="B39" i="91"/>
  <c r="A39" i="91"/>
  <c r="D38" i="91"/>
  <c r="C38" i="91"/>
  <c r="B38" i="91"/>
  <c r="A38" i="91"/>
  <c r="D37" i="91"/>
  <c r="C37" i="91"/>
  <c r="B37" i="91"/>
  <c r="A37" i="91"/>
  <c r="D36" i="91"/>
  <c r="C36" i="91"/>
  <c r="B36" i="91"/>
  <c r="A36" i="91"/>
  <c r="D35" i="91"/>
  <c r="C35" i="91"/>
  <c r="B35" i="91"/>
  <c r="A35" i="91"/>
  <c r="D34" i="91"/>
  <c r="C34" i="91"/>
  <c r="B34" i="91"/>
  <c r="A34" i="91"/>
  <c r="D33" i="91"/>
  <c r="C33" i="91"/>
  <c r="B33" i="91"/>
  <c r="A33" i="91"/>
  <c r="D32" i="91"/>
  <c r="C32" i="91"/>
  <c r="B32" i="91"/>
  <c r="A32" i="91"/>
  <c r="D31" i="91"/>
  <c r="C31" i="91"/>
  <c r="B31" i="91"/>
  <c r="A31" i="91"/>
  <c r="D30" i="91"/>
  <c r="C30" i="91"/>
  <c r="B30" i="91"/>
  <c r="A30" i="91"/>
  <c r="D29" i="91"/>
  <c r="C29" i="91"/>
  <c r="B29" i="91"/>
  <c r="A29" i="91"/>
  <c r="D28" i="91"/>
  <c r="C28" i="91"/>
  <c r="B28" i="91"/>
  <c r="A28" i="91"/>
  <c r="D27" i="91"/>
  <c r="C27" i="91"/>
  <c r="B27" i="91"/>
  <c r="A27" i="91"/>
  <c r="D26" i="91"/>
  <c r="C26" i="91"/>
  <c r="B26" i="91"/>
  <c r="A26" i="91"/>
  <c r="D25" i="91"/>
  <c r="C25" i="91"/>
  <c r="B25" i="91"/>
  <c r="A25" i="91"/>
  <c r="D24" i="91"/>
  <c r="C24" i="91"/>
  <c r="B24" i="91"/>
  <c r="A24" i="91"/>
  <c r="D23" i="91"/>
  <c r="C23" i="91"/>
  <c r="B23" i="91"/>
  <c r="A23" i="91"/>
  <c r="D22" i="91"/>
  <c r="C22" i="91"/>
  <c r="B22" i="91"/>
  <c r="A22" i="91"/>
  <c r="D21" i="91"/>
  <c r="C21" i="91"/>
  <c r="B21" i="91"/>
  <c r="A21" i="91"/>
  <c r="D20" i="91"/>
  <c r="C20" i="91"/>
  <c r="B20" i="91"/>
  <c r="A20" i="91"/>
  <c r="D19" i="91"/>
  <c r="C19" i="91"/>
  <c r="B19" i="91"/>
  <c r="A19" i="91"/>
  <c r="D18" i="91"/>
  <c r="C18" i="91"/>
  <c r="B18" i="91"/>
  <c r="A18" i="91"/>
  <c r="D17" i="91"/>
  <c r="C17" i="91"/>
  <c r="B17" i="91"/>
  <c r="D16" i="91"/>
  <c r="C16" i="91"/>
  <c r="B16" i="91"/>
  <c r="A16" i="91"/>
  <c r="D15" i="91"/>
  <c r="C15" i="91"/>
  <c r="B15" i="91"/>
  <c r="D14" i="91"/>
  <c r="C14" i="91"/>
  <c r="B14" i="91"/>
  <c r="A14" i="91"/>
  <c r="D13" i="91"/>
  <c r="C13" i="91"/>
  <c r="B13" i="91"/>
  <c r="A13" i="91"/>
  <c r="D12" i="91"/>
  <c r="C12" i="91"/>
  <c r="B12" i="91"/>
  <c r="A12" i="91"/>
  <c r="D11" i="91"/>
  <c r="C11" i="91"/>
  <c r="B11" i="91"/>
  <c r="A11" i="91"/>
  <c r="D10" i="91"/>
  <c r="C10" i="91"/>
  <c r="B10" i="91"/>
  <c r="A10" i="91"/>
  <c r="D9" i="91"/>
  <c r="C9" i="91"/>
  <c r="B9" i="91"/>
  <c r="A9" i="91"/>
  <c r="D8" i="91"/>
  <c r="C8" i="91"/>
  <c r="B8" i="91"/>
  <c r="A8" i="91"/>
  <c r="D7" i="91"/>
  <c r="C7" i="91"/>
  <c r="B7" i="91"/>
  <c r="A7" i="91"/>
  <c r="D6" i="91"/>
  <c r="C6" i="91"/>
  <c r="B6" i="91"/>
  <c r="A6" i="91"/>
  <c r="D48" i="90"/>
  <c r="C48" i="90"/>
  <c r="B48" i="90"/>
  <c r="A48" i="90"/>
  <c r="D47" i="90"/>
  <c r="C47" i="90"/>
  <c r="B47" i="90"/>
  <c r="A47" i="90"/>
  <c r="D46" i="90"/>
  <c r="C46" i="90"/>
  <c r="B46" i="90"/>
  <c r="A46" i="90"/>
  <c r="D45" i="90"/>
  <c r="C45" i="90"/>
  <c r="B45" i="90"/>
  <c r="D42" i="90"/>
  <c r="C42" i="90"/>
  <c r="B42" i="90"/>
  <c r="A42" i="90"/>
  <c r="D41" i="90"/>
  <c r="C41" i="90"/>
  <c r="B41" i="90"/>
  <c r="A41" i="90"/>
  <c r="D40" i="90"/>
  <c r="C40" i="90"/>
  <c r="B40" i="90"/>
  <c r="A40" i="90"/>
  <c r="D39" i="90"/>
  <c r="C39" i="90"/>
  <c r="B39" i="90"/>
  <c r="A39" i="90"/>
  <c r="D38" i="90"/>
  <c r="C38" i="90"/>
  <c r="B38" i="90"/>
  <c r="A38" i="90"/>
  <c r="D37" i="90"/>
  <c r="C37" i="90"/>
  <c r="B37" i="90"/>
  <c r="A37" i="90"/>
  <c r="D36" i="90"/>
  <c r="C36" i="90"/>
  <c r="B36" i="90"/>
  <c r="A36" i="90"/>
  <c r="D35" i="90"/>
  <c r="C35" i="90"/>
  <c r="B35" i="90"/>
  <c r="A35" i="90"/>
  <c r="D34" i="90"/>
  <c r="C34" i="90"/>
  <c r="B34" i="90"/>
  <c r="A34" i="90"/>
  <c r="D33" i="90"/>
  <c r="C33" i="90"/>
  <c r="B33" i="90"/>
  <c r="A33" i="90"/>
  <c r="D32" i="90"/>
  <c r="C32" i="90"/>
  <c r="B32" i="90"/>
  <c r="A32" i="90"/>
  <c r="D31" i="90"/>
  <c r="C31" i="90"/>
  <c r="B31" i="90"/>
  <c r="A31" i="90"/>
  <c r="D30" i="90"/>
  <c r="C30" i="90"/>
  <c r="B30" i="90"/>
  <c r="A30" i="90"/>
  <c r="D29" i="90"/>
  <c r="C29" i="90"/>
  <c r="B29" i="90"/>
  <c r="A29" i="90"/>
  <c r="D28" i="90"/>
  <c r="C28" i="90"/>
  <c r="B28" i="90"/>
  <c r="A28" i="90"/>
  <c r="D27" i="90"/>
  <c r="C27" i="90"/>
  <c r="B27" i="90"/>
  <c r="A27" i="90"/>
  <c r="D26" i="90"/>
  <c r="C26" i="90"/>
  <c r="B26" i="90"/>
  <c r="A26" i="90"/>
  <c r="D25" i="90"/>
  <c r="C25" i="90"/>
  <c r="B25" i="90"/>
  <c r="A25" i="90"/>
  <c r="D24" i="90"/>
  <c r="C24" i="90"/>
  <c r="B24" i="90"/>
  <c r="A24" i="90"/>
  <c r="D23" i="90"/>
  <c r="C23" i="90"/>
  <c r="B23" i="90"/>
  <c r="A23" i="90"/>
  <c r="D22" i="90"/>
  <c r="C22" i="90"/>
  <c r="B22" i="90"/>
  <c r="A22" i="90"/>
  <c r="D21" i="90"/>
  <c r="C21" i="90"/>
  <c r="B21" i="90"/>
  <c r="A21" i="90"/>
  <c r="D20" i="90"/>
  <c r="C20" i="90"/>
  <c r="B20" i="90"/>
  <c r="A20" i="90"/>
  <c r="D19" i="90"/>
  <c r="C19" i="90"/>
  <c r="B19" i="90"/>
  <c r="A19" i="90"/>
  <c r="D18" i="90"/>
  <c r="C18" i="90"/>
  <c r="B18" i="90"/>
  <c r="A18" i="90"/>
  <c r="D17" i="90"/>
  <c r="C17" i="90"/>
  <c r="B17" i="90"/>
  <c r="D16" i="90"/>
  <c r="C16" i="90"/>
  <c r="B16" i="90"/>
  <c r="A16" i="90"/>
  <c r="D15" i="90"/>
  <c r="C15" i="90"/>
  <c r="B15" i="90"/>
  <c r="D14" i="90"/>
  <c r="C14" i="90"/>
  <c r="B14" i="90"/>
  <c r="A14" i="90"/>
  <c r="D13" i="90"/>
  <c r="C13" i="90"/>
  <c r="B13" i="90"/>
  <c r="A13" i="90"/>
  <c r="D12" i="90"/>
  <c r="C12" i="90"/>
  <c r="B12" i="90"/>
  <c r="A12" i="90"/>
  <c r="D11" i="90"/>
  <c r="C11" i="90"/>
  <c r="B11" i="90"/>
  <c r="A11" i="90"/>
  <c r="D10" i="90"/>
  <c r="C10" i="90"/>
  <c r="B10" i="90"/>
  <c r="A10" i="90"/>
  <c r="D9" i="90"/>
  <c r="C9" i="90"/>
  <c r="B9" i="90"/>
  <c r="A9" i="90"/>
  <c r="D8" i="90"/>
  <c r="C8" i="90"/>
  <c r="B8" i="90"/>
  <c r="A8" i="90"/>
  <c r="D7" i="90"/>
  <c r="C7" i="90"/>
  <c r="B7" i="90"/>
  <c r="A7" i="90"/>
  <c r="D6" i="90"/>
  <c r="C6" i="90"/>
  <c r="B6" i="90"/>
  <c r="A6" i="90"/>
  <c r="D48" i="89"/>
  <c r="C48" i="89"/>
  <c r="B48" i="89"/>
  <c r="A48" i="89"/>
  <c r="D47" i="89"/>
  <c r="C47" i="89"/>
  <c r="B47" i="89"/>
  <c r="A47" i="89"/>
  <c r="D46" i="89"/>
  <c r="C46" i="89"/>
  <c r="B46" i="89"/>
  <c r="A46" i="89"/>
  <c r="D45" i="89"/>
  <c r="C45" i="89"/>
  <c r="B45" i="89"/>
  <c r="D42" i="89"/>
  <c r="C42" i="89"/>
  <c r="B42" i="89"/>
  <c r="A42" i="89"/>
  <c r="D41" i="89"/>
  <c r="C41" i="89"/>
  <c r="B41" i="89"/>
  <c r="A41" i="89"/>
  <c r="D40" i="89"/>
  <c r="C40" i="89"/>
  <c r="B40" i="89"/>
  <c r="A40" i="89"/>
  <c r="D39" i="89"/>
  <c r="C39" i="89"/>
  <c r="B39" i="89"/>
  <c r="A39" i="89"/>
  <c r="D38" i="89"/>
  <c r="C38" i="89"/>
  <c r="B38" i="89"/>
  <c r="A38" i="89"/>
  <c r="D37" i="89"/>
  <c r="C37" i="89"/>
  <c r="B37" i="89"/>
  <c r="A37" i="89"/>
  <c r="D36" i="89"/>
  <c r="C36" i="89"/>
  <c r="B36" i="89"/>
  <c r="A36" i="89"/>
  <c r="D35" i="89"/>
  <c r="C35" i="89"/>
  <c r="B35" i="89"/>
  <c r="A35" i="89"/>
  <c r="D34" i="89"/>
  <c r="C34" i="89"/>
  <c r="B34" i="89"/>
  <c r="A34" i="89"/>
  <c r="D33" i="89"/>
  <c r="C33" i="89"/>
  <c r="B33" i="89"/>
  <c r="A33" i="89"/>
  <c r="D32" i="89"/>
  <c r="C32" i="89"/>
  <c r="B32" i="89"/>
  <c r="A32" i="89"/>
  <c r="D31" i="89"/>
  <c r="C31" i="89"/>
  <c r="B31" i="89"/>
  <c r="A31" i="89"/>
  <c r="D30" i="89"/>
  <c r="C30" i="89"/>
  <c r="B30" i="89"/>
  <c r="A30" i="89"/>
  <c r="D29" i="89"/>
  <c r="C29" i="89"/>
  <c r="B29" i="89"/>
  <c r="A29" i="89"/>
  <c r="D28" i="89"/>
  <c r="C28" i="89"/>
  <c r="B28" i="89"/>
  <c r="A28" i="89"/>
  <c r="D27" i="89"/>
  <c r="C27" i="89"/>
  <c r="B27" i="89"/>
  <c r="A27" i="89"/>
  <c r="D26" i="89"/>
  <c r="C26" i="89"/>
  <c r="B26" i="89"/>
  <c r="A26" i="89"/>
  <c r="D25" i="89"/>
  <c r="C25" i="89"/>
  <c r="B25" i="89"/>
  <c r="A25" i="89"/>
  <c r="D24" i="89"/>
  <c r="C24" i="89"/>
  <c r="B24" i="89"/>
  <c r="A24" i="89"/>
  <c r="D23" i="89"/>
  <c r="C23" i="89"/>
  <c r="B23" i="89"/>
  <c r="A23" i="89"/>
  <c r="D22" i="89"/>
  <c r="C22" i="89"/>
  <c r="B22" i="89"/>
  <c r="A22" i="89"/>
  <c r="D21" i="89"/>
  <c r="C21" i="89"/>
  <c r="B21" i="89"/>
  <c r="A21" i="89"/>
  <c r="D20" i="89"/>
  <c r="C20" i="89"/>
  <c r="B20" i="89"/>
  <c r="A20" i="89"/>
  <c r="D19" i="89"/>
  <c r="C19" i="89"/>
  <c r="B19" i="89"/>
  <c r="A19" i="89"/>
  <c r="D18" i="89"/>
  <c r="C18" i="89"/>
  <c r="B18" i="89"/>
  <c r="A18" i="89"/>
  <c r="D17" i="89"/>
  <c r="C17" i="89"/>
  <c r="B17" i="89"/>
  <c r="D16" i="89"/>
  <c r="C16" i="89"/>
  <c r="B16" i="89"/>
  <c r="A16" i="89"/>
  <c r="D15" i="89"/>
  <c r="C15" i="89"/>
  <c r="B15" i="89"/>
  <c r="D14" i="89"/>
  <c r="C14" i="89"/>
  <c r="B14" i="89"/>
  <c r="A14" i="89"/>
  <c r="D13" i="89"/>
  <c r="C13" i="89"/>
  <c r="B13" i="89"/>
  <c r="A13" i="89"/>
  <c r="D12" i="89"/>
  <c r="C12" i="89"/>
  <c r="B12" i="89"/>
  <c r="A12" i="89"/>
  <c r="D11" i="89"/>
  <c r="C11" i="89"/>
  <c r="B11" i="89"/>
  <c r="A11" i="89"/>
  <c r="D10" i="89"/>
  <c r="C10" i="89"/>
  <c r="B10" i="89"/>
  <c r="A10" i="89"/>
  <c r="D9" i="89"/>
  <c r="C9" i="89"/>
  <c r="B9" i="89"/>
  <c r="A9" i="89"/>
  <c r="D8" i="89"/>
  <c r="C8" i="89"/>
  <c r="B8" i="89"/>
  <c r="A8" i="89"/>
  <c r="D7" i="89"/>
  <c r="C7" i="89"/>
  <c r="B7" i="89"/>
  <c r="A7" i="89"/>
  <c r="D6" i="89"/>
  <c r="C6" i="89"/>
  <c r="B6" i="89"/>
  <c r="A6" i="89"/>
  <c r="D48" i="88"/>
  <c r="C48" i="88"/>
  <c r="B48" i="88"/>
  <c r="A48" i="88"/>
  <c r="D47" i="88"/>
  <c r="C47" i="88"/>
  <c r="B47" i="88"/>
  <c r="A47" i="88"/>
  <c r="D46" i="88"/>
  <c r="C46" i="88"/>
  <c r="B46" i="88"/>
  <c r="A46" i="88"/>
  <c r="D45" i="88"/>
  <c r="C45" i="88"/>
  <c r="B45" i="88"/>
  <c r="D42" i="88"/>
  <c r="C42" i="88"/>
  <c r="B42" i="88"/>
  <c r="A42" i="88"/>
  <c r="D41" i="88"/>
  <c r="C41" i="88"/>
  <c r="B41" i="88"/>
  <c r="A41" i="88"/>
  <c r="D40" i="88"/>
  <c r="C40" i="88"/>
  <c r="B40" i="88"/>
  <c r="A40" i="88"/>
  <c r="D39" i="88"/>
  <c r="C39" i="88"/>
  <c r="B39" i="88"/>
  <c r="A39" i="88"/>
  <c r="D38" i="88"/>
  <c r="C38" i="88"/>
  <c r="B38" i="88"/>
  <c r="A38" i="88"/>
  <c r="D37" i="88"/>
  <c r="C37" i="88"/>
  <c r="B37" i="88"/>
  <c r="A37" i="88"/>
  <c r="D36" i="88"/>
  <c r="C36" i="88"/>
  <c r="B36" i="88"/>
  <c r="A36" i="88"/>
  <c r="D35" i="88"/>
  <c r="C35" i="88"/>
  <c r="B35" i="88"/>
  <c r="A35" i="88"/>
  <c r="D34" i="88"/>
  <c r="C34" i="88"/>
  <c r="B34" i="88"/>
  <c r="A34" i="88"/>
  <c r="D33" i="88"/>
  <c r="C33" i="88"/>
  <c r="B33" i="88"/>
  <c r="A33" i="88"/>
  <c r="D32" i="88"/>
  <c r="C32" i="88"/>
  <c r="B32" i="88"/>
  <c r="A32" i="88"/>
  <c r="D31" i="88"/>
  <c r="C31" i="88"/>
  <c r="B31" i="88"/>
  <c r="A31" i="88"/>
  <c r="D30" i="88"/>
  <c r="C30" i="88"/>
  <c r="B30" i="88"/>
  <c r="A30" i="88"/>
  <c r="D29" i="88"/>
  <c r="C29" i="88"/>
  <c r="B29" i="88"/>
  <c r="A29" i="88"/>
  <c r="D28" i="88"/>
  <c r="C28" i="88"/>
  <c r="B28" i="88"/>
  <c r="A28" i="88"/>
  <c r="D27" i="88"/>
  <c r="C27" i="88"/>
  <c r="B27" i="88"/>
  <c r="A27" i="88"/>
  <c r="D26" i="88"/>
  <c r="C26" i="88"/>
  <c r="B26" i="88"/>
  <c r="A26" i="88"/>
  <c r="D25" i="88"/>
  <c r="C25" i="88"/>
  <c r="B25" i="88"/>
  <c r="A25" i="88"/>
  <c r="D24" i="88"/>
  <c r="C24" i="88"/>
  <c r="B24" i="88"/>
  <c r="A24" i="88"/>
  <c r="D23" i="88"/>
  <c r="C23" i="88"/>
  <c r="B23" i="88"/>
  <c r="A23" i="88"/>
  <c r="D22" i="88"/>
  <c r="C22" i="88"/>
  <c r="B22" i="88"/>
  <c r="A22" i="88"/>
  <c r="D21" i="88"/>
  <c r="C21" i="88"/>
  <c r="B21" i="88"/>
  <c r="A21" i="88"/>
  <c r="D20" i="88"/>
  <c r="C20" i="88"/>
  <c r="B20" i="88"/>
  <c r="A20" i="88"/>
  <c r="D19" i="88"/>
  <c r="C19" i="88"/>
  <c r="B19" i="88"/>
  <c r="A19" i="88"/>
  <c r="D18" i="88"/>
  <c r="C18" i="88"/>
  <c r="B18" i="88"/>
  <c r="A18" i="88"/>
  <c r="D17" i="88"/>
  <c r="C17" i="88"/>
  <c r="B17" i="88"/>
  <c r="D16" i="88"/>
  <c r="C16" i="88"/>
  <c r="B16" i="88"/>
  <c r="A16" i="88"/>
  <c r="D15" i="88"/>
  <c r="C15" i="88"/>
  <c r="B15" i="88"/>
  <c r="D14" i="88"/>
  <c r="C14" i="88"/>
  <c r="B14" i="88"/>
  <c r="A14" i="88"/>
  <c r="D13" i="88"/>
  <c r="C13" i="88"/>
  <c r="B13" i="88"/>
  <c r="A13" i="88"/>
  <c r="D12" i="88"/>
  <c r="C12" i="88"/>
  <c r="B12" i="88"/>
  <c r="A12" i="88"/>
  <c r="D11" i="88"/>
  <c r="C11" i="88"/>
  <c r="B11" i="88"/>
  <c r="A11" i="88"/>
  <c r="D10" i="88"/>
  <c r="C10" i="88"/>
  <c r="B10" i="88"/>
  <c r="A10" i="88"/>
  <c r="D9" i="88"/>
  <c r="C9" i="88"/>
  <c r="B9" i="88"/>
  <c r="A9" i="88"/>
  <c r="D8" i="88"/>
  <c r="C8" i="88"/>
  <c r="B8" i="88"/>
  <c r="A8" i="88"/>
  <c r="D7" i="88"/>
  <c r="C7" i="88"/>
  <c r="B7" i="88"/>
  <c r="A7" i="88"/>
  <c r="D6" i="88"/>
  <c r="C6" i="88"/>
  <c r="B6" i="88"/>
  <c r="A6" i="88"/>
  <c r="D48" i="87"/>
  <c r="C48" i="87"/>
  <c r="B48" i="87"/>
  <c r="A48" i="87"/>
  <c r="D47" i="87"/>
  <c r="C47" i="87"/>
  <c r="B47" i="87"/>
  <c r="A47" i="87"/>
  <c r="D46" i="87"/>
  <c r="C46" i="87"/>
  <c r="B46" i="87"/>
  <c r="A46" i="87"/>
  <c r="D45" i="87"/>
  <c r="C45" i="87"/>
  <c r="B45" i="87"/>
  <c r="D42" i="87"/>
  <c r="C42" i="87"/>
  <c r="B42" i="87"/>
  <c r="A42" i="87"/>
  <c r="D41" i="87"/>
  <c r="C41" i="87"/>
  <c r="B41" i="87"/>
  <c r="A41" i="87"/>
  <c r="D40" i="87"/>
  <c r="C40" i="87"/>
  <c r="B40" i="87"/>
  <c r="A40" i="87"/>
  <c r="D39" i="87"/>
  <c r="C39" i="87"/>
  <c r="B39" i="87"/>
  <c r="A39" i="87"/>
  <c r="D38" i="87"/>
  <c r="C38" i="87"/>
  <c r="B38" i="87"/>
  <c r="A38" i="87"/>
  <c r="D37" i="87"/>
  <c r="C37" i="87"/>
  <c r="B37" i="87"/>
  <c r="A37" i="87"/>
  <c r="D36" i="87"/>
  <c r="C36" i="87"/>
  <c r="B36" i="87"/>
  <c r="A36" i="87"/>
  <c r="D35" i="87"/>
  <c r="C35" i="87"/>
  <c r="B35" i="87"/>
  <c r="A35" i="87"/>
  <c r="D34" i="87"/>
  <c r="C34" i="87"/>
  <c r="B34" i="87"/>
  <c r="A34" i="87"/>
  <c r="D33" i="87"/>
  <c r="C33" i="87"/>
  <c r="B33" i="87"/>
  <c r="A33" i="87"/>
  <c r="D32" i="87"/>
  <c r="C32" i="87"/>
  <c r="B32" i="87"/>
  <c r="A32" i="87"/>
  <c r="D31" i="87"/>
  <c r="C31" i="87"/>
  <c r="B31" i="87"/>
  <c r="A31" i="87"/>
  <c r="D30" i="87"/>
  <c r="C30" i="87"/>
  <c r="B30" i="87"/>
  <c r="A30" i="87"/>
  <c r="D29" i="87"/>
  <c r="C29" i="87"/>
  <c r="B29" i="87"/>
  <c r="A29" i="87"/>
  <c r="D28" i="87"/>
  <c r="C28" i="87"/>
  <c r="B28" i="87"/>
  <c r="A28" i="87"/>
  <c r="D27" i="87"/>
  <c r="C27" i="87"/>
  <c r="B27" i="87"/>
  <c r="A27" i="87"/>
  <c r="D26" i="87"/>
  <c r="C26" i="87"/>
  <c r="B26" i="87"/>
  <c r="A26" i="87"/>
  <c r="D25" i="87"/>
  <c r="C25" i="87"/>
  <c r="B25" i="87"/>
  <c r="A25" i="87"/>
  <c r="D24" i="87"/>
  <c r="C24" i="87"/>
  <c r="B24" i="87"/>
  <c r="A24" i="87"/>
  <c r="D23" i="87"/>
  <c r="C23" i="87"/>
  <c r="B23" i="87"/>
  <c r="A23" i="87"/>
  <c r="D22" i="87"/>
  <c r="C22" i="87"/>
  <c r="B22" i="87"/>
  <c r="A22" i="87"/>
  <c r="D21" i="87"/>
  <c r="C21" i="87"/>
  <c r="B21" i="87"/>
  <c r="A21" i="87"/>
  <c r="D20" i="87"/>
  <c r="C20" i="87"/>
  <c r="B20" i="87"/>
  <c r="A20" i="87"/>
  <c r="D19" i="87"/>
  <c r="C19" i="87"/>
  <c r="B19" i="87"/>
  <c r="A19" i="87"/>
  <c r="D18" i="87"/>
  <c r="C18" i="87"/>
  <c r="B18" i="87"/>
  <c r="A18" i="87"/>
  <c r="D17" i="87"/>
  <c r="C17" i="87"/>
  <c r="B17" i="87"/>
  <c r="D16" i="87"/>
  <c r="C16" i="87"/>
  <c r="B16" i="87"/>
  <c r="A16" i="87"/>
  <c r="D15" i="87"/>
  <c r="C15" i="87"/>
  <c r="B15" i="87"/>
  <c r="D14" i="87"/>
  <c r="C14" i="87"/>
  <c r="B14" i="87"/>
  <c r="A14" i="87"/>
  <c r="D13" i="87"/>
  <c r="C13" i="87"/>
  <c r="B13" i="87"/>
  <c r="A13" i="87"/>
  <c r="D12" i="87"/>
  <c r="C12" i="87"/>
  <c r="B12" i="87"/>
  <c r="A12" i="87"/>
  <c r="D11" i="87"/>
  <c r="C11" i="87"/>
  <c r="B11" i="87"/>
  <c r="A11" i="87"/>
  <c r="D10" i="87"/>
  <c r="C10" i="87"/>
  <c r="B10" i="87"/>
  <c r="A10" i="87"/>
  <c r="D9" i="87"/>
  <c r="C9" i="87"/>
  <c r="B9" i="87"/>
  <c r="A9" i="87"/>
  <c r="D8" i="87"/>
  <c r="C8" i="87"/>
  <c r="B8" i="87"/>
  <c r="A8" i="87"/>
  <c r="D7" i="87"/>
  <c r="C7" i="87"/>
  <c r="B7" i="87"/>
  <c r="A7" i="87"/>
  <c r="D6" i="87"/>
  <c r="C6" i="87"/>
  <c r="B6" i="87"/>
  <c r="A6" i="87"/>
  <c r="D48" i="86"/>
  <c r="C48" i="86"/>
  <c r="B48" i="86"/>
  <c r="A48" i="86"/>
  <c r="D47" i="86"/>
  <c r="C47" i="86"/>
  <c r="B47" i="86"/>
  <c r="A47" i="86"/>
  <c r="D46" i="86"/>
  <c r="C46" i="86"/>
  <c r="B46" i="86"/>
  <c r="A46" i="86"/>
  <c r="D45" i="86"/>
  <c r="C45" i="86"/>
  <c r="B45" i="86"/>
  <c r="D42" i="86"/>
  <c r="C42" i="86"/>
  <c r="B42" i="86"/>
  <c r="A42" i="86"/>
  <c r="D41" i="86"/>
  <c r="C41" i="86"/>
  <c r="B41" i="86"/>
  <c r="A41" i="86"/>
  <c r="D40" i="86"/>
  <c r="C40" i="86"/>
  <c r="B40" i="86"/>
  <c r="A40" i="86"/>
  <c r="D39" i="86"/>
  <c r="C39" i="86"/>
  <c r="B39" i="86"/>
  <c r="A39" i="86"/>
  <c r="D38" i="86"/>
  <c r="C38" i="86"/>
  <c r="B38" i="86"/>
  <c r="A38" i="86"/>
  <c r="D37" i="86"/>
  <c r="C37" i="86"/>
  <c r="B37" i="86"/>
  <c r="A37" i="86"/>
  <c r="D36" i="86"/>
  <c r="C36" i="86"/>
  <c r="B36" i="86"/>
  <c r="A36" i="86"/>
  <c r="D35" i="86"/>
  <c r="C35" i="86"/>
  <c r="B35" i="86"/>
  <c r="A35" i="86"/>
  <c r="D34" i="86"/>
  <c r="C34" i="86"/>
  <c r="B34" i="86"/>
  <c r="A34" i="86"/>
  <c r="D33" i="86"/>
  <c r="C33" i="86"/>
  <c r="B33" i="86"/>
  <c r="A33" i="86"/>
  <c r="D32" i="86"/>
  <c r="C32" i="86"/>
  <c r="B32" i="86"/>
  <c r="A32" i="86"/>
  <c r="D31" i="86"/>
  <c r="C31" i="86"/>
  <c r="B31" i="86"/>
  <c r="A31" i="86"/>
  <c r="D30" i="86"/>
  <c r="C30" i="86"/>
  <c r="B30" i="86"/>
  <c r="A30" i="86"/>
  <c r="D29" i="86"/>
  <c r="C29" i="86"/>
  <c r="B29" i="86"/>
  <c r="A29" i="86"/>
  <c r="D28" i="86"/>
  <c r="C28" i="86"/>
  <c r="B28" i="86"/>
  <c r="A28" i="86"/>
  <c r="D27" i="86"/>
  <c r="C27" i="86"/>
  <c r="B27" i="86"/>
  <c r="A27" i="86"/>
  <c r="D26" i="86"/>
  <c r="C26" i="86"/>
  <c r="B26" i="86"/>
  <c r="A26" i="86"/>
  <c r="D25" i="86"/>
  <c r="C25" i="86"/>
  <c r="B25" i="86"/>
  <c r="A25" i="86"/>
  <c r="D24" i="86"/>
  <c r="C24" i="86"/>
  <c r="B24" i="86"/>
  <c r="A24" i="86"/>
  <c r="D23" i="86"/>
  <c r="C23" i="86"/>
  <c r="B23" i="86"/>
  <c r="A23" i="86"/>
  <c r="D22" i="86"/>
  <c r="C22" i="86"/>
  <c r="B22" i="86"/>
  <c r="A22" i="86"/>
  <c r="D21" i="86"/>
  <c r="C21" i="86"/>
  <c r="B21" i="86"/>
  <c r="A21" i="86"/>
  <c r="D20" i="86"/>
  <c r="C20" i="86"/>
  <c r="B20" i="86"/>
  <c r="A20" i="86"/>
  <c r="D19" i="86"/>
  <c r="C19" i="86"/>
  <c r="B19" i="86"/>
  <c r="A19" i="86"/>
  <c r="D18" i="86"/>
  <c r="C18" i="86"/>
  <c r="B18" i="86"/>
  <c r="A18" i="86"/>
  <c r="D17" i="86"/>
  <c r="C17" i="86"/>
  <c r="B17" i="86"/>
  <c r="D16" i="86"/>
  <c r="C16" i="86"/>
  <c r="B16" i="86"/>
  <c r="A16" i="86"/>
  <c r="D15" i="86"/>
  <c r="C15" i="86"/>
  <c r="B15" i="86"/>
  <c r="D14" i="86"/>
  <c r="C14" i="86"/>
  <c r="B14" i="86"/>
  <c r="A14" i="86"/>
  <c r="D13" i="86"/>
  <c r="C13" i="86"/>
  <c r="B13" i="86"/>
  <c r="A13" i="86"/>
  <c r="D12" i="86"/>
  <c r="C12" i="86"/>
  <c r="B12" i="86"/>
  <c r="A12" i="86"/>
  <c r="D11" i="86"/>
  <c r="C11" i="86"/>
  <c r="B11" i="86"/>
  <c r="A11" i="86"/>
  <c r="D10" i="86"/>
  <c r="C10" i="86"/>
  <c r="B10" i="86"/>
  <c r="A10" i="86"/>
  <c r="D9" i="86"/>
  <c r="C9" i="86"/>
  <c r="B9" i="86"/>
  <c r="A9" i="86"/>
  <c r="D8" i="86"/>
  <c r="C8" i="86"/>
  <c r="B8" i="86"/>
  <c r="A8" i="86"/>
  <c r="D7" i="86"/>
  <c r="C7" i="86"/>
  <c r="B7" i="86"/>
  <c r="A7" i="86"/>
  <c r="D6" i="86"/>
  <c r="C6" i="86"/>
  <c r="B6" i="86"/>
  <c r="A6" i="86"/>
  <c r="D48" i="85"/>
  <c r="C48" i="85"/>
  <c r="B48" i="85"/>
  <c r="A48" i="85"/>
  <c r="D47" i="85"/>
  <c r="C47" i="85"/>
  <c r="B47" i="85"/>
  <c r="A47" i="85"/>
  <c r="D46" i="85"/>
  <c r="C46" i="85"/>
  <c r="B46" i="85"/>
  <c r="A46" i="85"/>
  <c r="D45" i="85"/>
  <c r="C45" i="85"/>
  <c r="B45" i="85"/>
  <c r="D42" i="85"/>
  <c r="C42" i="85"/>
  <c r="B42" i="85"/>
  <c r="A42" i="85"/>
  <c r="D41" i="85"/>
  <c r="C41" i="85"/>
  <c r="B41" i="85"/>
  <c r="A41" i="85"/>
  <c r="D40" i="85"/>
  <c r="C40" i="85"/>
  <c r="B40" i="85"/>
  <c r="A40" i="85"/>
  <c r="D39" i="85"/>
  <c r="C39" i="85"/>
  <c r="B39" i="85"/>
  <c r="A39" i="85"/>
  <c r="D38" i="85"/>
  <c r="C38" i="85"/>
  <c r="B38" i="85"/>
  <c r="A38" i="85"/>
  <c r="D37" i="85"/>
  <c r="C37" i="85"/>
  <c r="B37" i="85"/>
  <c r="A37" i="85"/>
  <c r="D36" i="85"/>
  <c r="C36" i="85"/>
  <c r="B36" i="85"/>
  <c r="A36" i="85"/>
  <c r="D35" i="85"/>
  <c r="C35" i="85"/>
  <c r="B35" i="85"/>
  <c r="A35" i="85"/>
  <c r="D34" i="85"/>
  <c r="C34" i="85"/>
  <c r="B34" i="85"/>
  <c r="A34" i="85"/>
  <c r="D33" i="85"/>
  <c r="C33" i="85"/>
  <c r="B33" i="85"/>
  <c r="A33" i="85"/>
  <c r="D32" i="85"/>
  <c r="C32" i="85"/>
  <c r="B32" i="85"/>
  <c r="A32" i="85"/>
  <c r="D31" i="85"/>
  <c r="C31" i="85"/>
  <c r="B31" i="85"/>
  <c r="A31" i="85"/>
  <c r="D30" i="85"/>
  <c r="C30" i="85"/>
  <c r="B30" i="85"/>
  <c r="A30" i="85"/>
  <c r="D29" i="85"/>
  <c r="C29" i="85"/>
  <c r="B29" i="85"/>
  <c r="A29" i="85"/>
  <c r="D28" i="85"/>
  <c r="C28" i="85"/>
  <c r="B28" i="85"/>
  <c r="A28" i="85"/>
  <c r="D27" i="85"/>
  <c r="C27" i="85"/>
  <c r="B27" i="85"/>
  <c r="A27" i="85"/>
  <c r="D26" i="85"/>
  <c r="C26" i="85"/>
  <c r="B26" i="85"/>
  <c r="A26" i="85"/>
  <c r="D25" i="85"/>
  <c r="C25" i="85"/>
  <c r="B25" i="85"/>
  <c r="A25" i="85"/>
  <c r="D24" i="85"/>
  <c r="C24" i="85"/>
  <c r="B24" i="85"/>
  <c r="A24" i="85"/>
  <c r="D23" i="85"/>
  <c r="C23" i="85"/>
  <c r="B23" i="85"/>
  <c r="A23" i="85"/>
  <c r="D22" i="85"/>
  <c r="C22" i="85"/>
  <c r="B22" i="85"/>
  <c r="A22" i="85"/>
  <c r="D21" i="85"/>
  <c r="C21" i="85"/>
  <c r="B21" i="85"/>
  <c r="A21" i="85"/>
  <c r="D20" i="85"/>
  <c r="C20" i="85"/>
  <c r="B20" i="85"/>
  <c r="A20" i="85"/>
  <c r="D19" i="85"/>
  <c r="C19" i="85"/>
  <c r="B19" i="85"/>
  <c r="A19" i="85"/>
  <c r="D18" i="85"/>
  <c r="C18" i="85"/>
  <c r="B18" i="85"/>
  <c r="A18" i="85"/>
  <c r="D17" i="85"/>
  <c r="C17" i="85"/>
  <c r="B17" i="85"/>
  <c r="D16" i="85"/>
  <c r="C16" i="85"/>
  <c r="B16" i="85"/>
  <c r="A16" i="85"/>
  <c r="D15" i="85"/>
  <c r="C15" i="85"/>
  <c r="B15" i="85"/>
  <c r="D14" i="85"/>
  <c r="C14" i="85"/>
  <c r="B14" i="85"/>
  <c r="A14" i="85"/>
  <c r="D13" i="85"/>
  <c r="C13" i="85"/>
  <c r="B13" i="85"/>
  <c r="A13" i="85"/>
  <c r="D12" i="85"/>
  <c r="C12" i="85"/>
  <c r="B12" i="85"/>
  <c r="A12" i="85"/>
  <c r="D11" i="85"/>
  <c r="C11" i="85"/>
  <c r="B11" i="85"/>
  <c r="A11" i="85"/>
  <c r="D10" i="85"/>
  <c r="C10" i="85"/>
  <c r="B10" i="85"/>
  <c r="A10" i="85"/>
  <c r="D9" i="85"/>
  <c r="C9" i="85"/>
  <c r="B9" i="85"/>
  <c r="A9" i="85"/>
  <c r="D8" i="85"/>
  <c r="C8" i="85"/>
  <c r="B8" i="85"/>
  <c r="A8" i="85"/>
  <c r="D7" i="85"/>
  <c r="C7" i="85"/>
  <c r="B7" i="85"/>
  <c r="A7" i="85"/>
  <c r="D6" i="85"/>
  <c r="C6" i="85"/>
  <c r="B6" i="85"/>
  <c r="A6" i="85"/>
  <c r="D48" i="84"/>
  <c r="C48" i="84"/>
  <c r="B48" i="84"/>
  <c r="A48" i="84"/>
  <c r="D47" i="84"/>
  <c r="C47" i="84"/>
  <c r="B47" i="84"/>
  <c r="A47" i="84"/>
  <c r="D46" i="84"/>
  <c r="C46" i="84"/>
  <c r="B46" i="84"/>
  <c r="A46" i="84"/>
  <c r="D45" i="84"/>
  <c r="C45" i="84"/>
  <c r="B45" i="84"/>
  <c r="D42" i="84"/>
  <c r="C42" i="84"/>
  <c r="B42" i="84"/>
  <c r="A42" i="84"/>
  <c r="D41" i="84"/>
  <c r="C41" i="84"/>
  <c r="B41" i="84"/>
  <c r="A41" i="84"/>
  <c r="D40" i="84"/>
  <c r="C40" i="84"/>
  <c r="B40" i="84"/>
  <c r="A40" i="84"/>
  <c r="D39" i="84"/>
  <c r="C39" i="84"/>
  <c r="B39" i="84"/>
  <c r="A39" i="84"/>
  <c r="D38" i="84"/>
  <c r="C38" i="84"/>
  <c r="B38" i="84"/>
  <c r="A38" i="84"/>
  <c r="D37" i="84"/>
  <c r="C37" i="84"/>
  <c r="B37" i="84"/>
  <c r="A37" i="84"/>
  <c r="D36" i="84"/>
  <c r="C36" i="84"/>
  <c r="B36" i="84"/>
  <c r="A36" i="84"/>
  <c r="D35" i="84"/>
  <c r="C35" i="84"/>
  <c r="B35" i="84"/>
  <c r="A35" i="84"/>
  <c r="D34" i="84"/>
  <c r="C34" i="84"/>
  <c r="B34" i="84"/>
  <c r="A34" i="84"/>
  <c r="D33" i="84"/>
  <c r="C33" i="84"/>
  <c r="B33" i="84"/>
  <c r="A33" i="84"/>
  <c r="D32" i="84"/>
  <c r="C32" i="84"/>
  <c r="B32" i="84"/>
  <c r="A32" i="84"/>
  <c r="D31" i="84"/>
  <c r="C31" i="84"/>
  <c r="B31" i="84"/>
  <c r="A31" i="84"/>
  <c r="D30" i="84"/>
  <c r="C30" i="84"/>
  <c r="B30" i="84"/>
  <c r="A30" i="84"/>
  <c r="D29" i="84"/>
  <c r="C29" i="84"/>
  <c r="B29" i="84"/>
  <c r="A29" i="84"/>
  <c r="D28" i="84"/>
  <c r="C28" i="84"/>
  <c r="B28" i="84"/>
  <c r="A28" i="84"/>
  <c r="D27" i="84"/>
  <c r="C27" i="84"/>
  <c r="B27" i="84"/>
  <c r="A27" i="84"/>
  <c r="D26" i="84"/>
  <c r="C26" i="84"/>
  <c r="B26" i="84"/>
  <c r="A26" i="84"/>
  <c r="D25" i="84"/>
  <c r="C25" i="84"/>
  <c r="B25" i="84"/>
  <c r="A25" i="84"/>
  <c r="D24" i="84"/>
  <c r="C24" i="84"/>
  <c r="B24" i="84"/>
  <c r="A24" i="84"/>
  <c r="D23" i="84"/>
  <c r="C23" i="84"/>
  <c r="B23" i="84"/>
  <c r="A23" i="84"/>
  <c r="D22" i="84"/>
  <c r="C22" i="84"/>
  <c r="B22" i="84"/>
  <c r="A22" i="84"/>
  <c r="D21" i="84"/>
  <c r="C21" i="84"/>
  <c r="B21" i="84"/>
  <c r="A21" i="84"/>
  <c r="D20" i="84"/>
  <c r="C20" i="84"/>
  <c r="B20" i="84"/>
  <c r="A20" i="84"/>
  <c r="D19" i="84"/>
  <c r="C19" i="84"/>
  <c r="B19" i="84"/>
  <c r="A19" i="84"/>
  <c r="D18" i="84"/>
  <c r="C18" i="84"/>
  <c r="B18" i="84"/>
  <c r="A18" i="84"/>
  <c r="D17" i="84"/>
  <c r="C17" i="84"/>
  <c r="B17" i="84"/>
  <c r="D16" i="84"/>
  <c r="C16" i="84"/>
  <c r="B16" i="84"/>
  <c r="A16" i="84"/>
  <c r="D15" i="84"/>
  <c r="C15" i="84"/>
  <c r="B15" i="84"/>
  <c r="D14" i="84"/>
  <c r="C14" i="84"/>
  <c r="B14" i="84"/>
  <c r="A14" i="84"/>
  <c r="D13" i="84"/>
  <c r="C13" i="84"/>
  <c r="B13" i="84"/>
  <c r="A13" i="84"/>
  <c r="D12" i="84"/>
  <c r="C12" i="84"/>
  <c r="B12" i="84"/>
  <c r="A12" i="84"/>
  <c r="D11" i="84"/>
  <c r="C11" i="84"/>
  <c r="B11" i="84"/>
  <c r="A11" i="84"/>
  <c r="D10" i="84"/>
  <c r="C10" i="84"/>
  <c r="B10" i="84"/>
  <c r="A10" i="84"/>
  <c r="D9" i="84"/>
  <c r="C9" i="84"/>
  <c r="B9" i="84"/>
  <c r="A9" i="84"/>
  <c r="D8" i="84"/>
  <c r="C8" i="84"/>
  <c r="B8" i="84"/>
  <c r="A8" i="84"/>
  <c r="D7" i="84"/>
  <c r="C7" i="84"/>
  <c r="B7" i="84"/>
  <c r="A7" i="84"/>
  <c r="D6" i="84"/>
  <c r="C6" i="84"/>
  <c r="B6" i="84"/>
  <c r="A6" i="84"/>
  <c r="D48" i="83"/>
  <c r="C48" i="83"/>
  <c r="B48" i="83"/>
  <c r="A48" i="83"/>
  <c r="D47" i="83"/>
  <c r="C47" i="83"/>
  <c r="B47" i="83"/>
  <c r="A47" i="83"/>
  <c r="D46" i="83"/>
  <c r="C46" i="83"/>
  <c r="B46" i="83"/>
  <c r="A46" i="83"/>
  <c r="D45" i="83"/>
  <c r="C45" i="83"/>
  <c r="B45" i="83"/>
  <c r="D42" i="83"/>
  <c r="C42" i="83"/>
  <c r="B42" i="83"/>
  <c r="A42" i="83"/>
  <c r="D41" i="83"/>
  <c r="C41" i="83"/>
  <c r="B41" i="83"/>
  <c r="A41" i="83"/>
  <c r="D40" i="83"/>
  <c r="C40" i="83"/>
  <c r="B40" i="83"/>
  <c r="A40" i="83"/>
  <c r="D39" i="83"/>
  <c r="C39" i="83"/>
  <c r="B39" i="83"/>
  <c r="A39" i="83"/>
  <c r="D38" i="83"/>
  <c r="C38" i="83"/>
  <c r="B38" i="83"/>
  <c r="A38" i="83"/>
  <c r="D37" i="83"/>
  <c r="C37" i="83"/>
  <c r="B37" i="83"/>
  <c r="A37" i="83"/>
  <c r="D36" i="83"/>
  <c r="C36" i="83"/>
  <c r="B36" i="83"/>
  <c r="A36" i="83"/>
  <c r="D35" i="83"/>
  <c r="C35" i="83"/>
  <c r="B35" i="83"/>
  <c r="A35" i="83"/>
  <c r="D34" i="83"/>
  <c r="C34" i="83"/>
  <c r="B34" i="83"/>
  <c r="A34" i="83"/>
  <c r="D33" i="83"/>
  <c r="C33" i="83"/>
  <c r="B33" i="83"/>
  <c r="A33" i="83"/>
  <c r="D32" i="83"/>
  <c r="C32" i="83"/>
  <c r="B32" i="83"/>
  <c r="A32" i="83"/>
  <c r="D31" i="83"/>
  <c r="C31" i="83"/>
  <c r="B31" i="83"/>
  <c r="A31" i="83"/>
  <c r="D30" i="83"/>
  <c r="C30" i="83"/>
  <c r="B30" i="83"/>
  <c r="A30" i="83"/>
  <c r="D29" i="83"/>
  <c r="C29" i="83"/>
  <c r="B29" i="83"/>
  <c r="A29" i="83"/>
  <c r="D28" i="83"/>
  <c r="C28" i="83"/>
  <c r="B28" i="83"/>
  <c r="A28" i="83"/>
  <c r="D27" i="83"/>
  <c r="C27" i="83"/>
  <c r="B27" i="83"/>
  <c r="A27" i="83"/>
  <c r="D26" i="83"/>
  <c r="C26" i="83"/>
  <c r="B26" i="83"/>
  <c r="A26" i="83"/>
  <c r="D25" i="83"/>
  <c r="C25" i="83"/>
  <c r="B25" i="83"/>
  <c r="A25" i="83"/>
  <c r="D24" i="83"/>
  <c r="C24" i="83"/>
  <c r="B24" i="83"/>
  <c r="A24" i="83"/>
  <c r="D23" i="83"/>
  <c r="C23" i="83"/>
  <c r="B23" i="83"/>
  <c r="A23" i="83"/>
  <c r="D22" i="83"/>
  <c r="C22" i="83"/>
  <c r="B22" i="83"/>
  <c r="A22" i="83"/>
  <c r="D21" i="83"/>
  <c r="C21" i="83"/>
  <c r="B21" i="83"/>
  <c r="A21" i="83"/>
  <c r="D20" i="83"/>
  <c r="C20" i="83"/>
  <c r="B20" i="83"/>
  <c r="A20" i="83"/>
  <c r="D19" i="83"/>
  <c r="C19" i="83"/>
  <c r="B19" i="83"/>
  <c r="A19" i="83"/>
  <c r="D18" i="83"/>
  <c r="C18" i="83"/>
  <c r="B18" i="83"/>
  <c r="A18" i="83"/>
  <c r="D17" i="83"/>
  <c r="C17" i="83"/>
  <c r="B17" i="83"/>
  <c r="D16" i="83"/>
  <c r="C16" i="83"/>
  <c r="B16" i="83"/>
  <c r="A16" i="83"/>
  <c r="D15" i="83"/>
  <c r="C15" i="83"/>
  <c r="B15" i="83"/>
  <c r="D14" i="83"/>
  <c r="C14" i="83"/>
  <c r="B14" i="83"/>
  <c r="A14" i="83"/>
  <c r="D13" i="83"/>
  <c r="C13" i="83"/>
  <c r="B13" i="83"/>
  <c r="A13" i="83"/>
  <c r="D12" i="83"/>
  <c r="C12" i="83"/>
  <c r="B12" i="83"/>
  <c r="A12" i="83"/>
  <c r="D11" i="83"/>
  <c r="C11" i="83"/>
  <c r="B11" i="83"/>
  <c r="A11" i="83"/>
  <c r="D10" i="83"/>
  <c r="C10" i="83"/>
  <c r="B10" i="83"/>
  <c r="A10" i="83"/>
  <c r="D9" i="83"/>
  <c r="C9" i="83"/>
  <c r="B9" i="83"/>
  <c r="A9" i="83"/>
  <c r="D8" i="83"/>
  <c r="C8" i="83"/>
  <c r="B8" i="83"/>
  <c r="A8" i="83"/>
  <c r="D7" i="83"/>
  <c r="C7" i="83"/>
  <c r="B7" i="83"/>
  <c r="A7" i="83"/>
  <c r="D6" i="83"/>
  <c r="C6" i="83"/>
  <c r="B6" i="83"/>
  <c r="A6" i="83"/>
  <c r="D48" i="82"/>
  <c r="C48" i="82"/>
  <c r="B48" i="82"/>
  <c r="A48" i="82"/>
  <c r="D47" i="82"/>
  <c r="C47" i="82"/>
  <c r="B47" i="82"/>
  <c r="A47" i="82"/>
  <c r="D46" i="82"/>
  <c r="C46" i="82"/>
  <c r="B46" i="82"/>
  <c r="A46" i="82"/>
  <c r="D45" i="82"/>
  <c r="C45" i="82"/>
  <c r="B45" i="82"/>
  <c r="D42" i="82"/>
  <c r="C42" i="82"/>
  <c r="B42" i="82"/>
  <c r="A42" i="82"/>
  <c r="D41" i="82"/>
  <c r="C41" i="82"/>
  <c r="B41" i="82"/>
  <c r="A41" i="82"/>
  <c r="D40" i="82"/>
  <c r="C40" i="82"/>
  <c r="B40" i="82"/>
  <c r="A40" i="82"/>
  <c r="D39" i="82"/>
  <c r="C39" i="82"/>
  <c r="B39" i="82"/>
  <c r="A39" i="82"/>
  <c r="D38" i="82"/>
  <c r="C38" i="82"/>
  <c r="B38" i="82"/>
  <c r="A38" i="82"/>
  <c r="D37" i="82"/>
  <c r="C37" i="82"/>
  <c r="B37" i="82"/>
  <c r="A37" i="82"/>
  <c r="D36" i="82"/>
  <c r="C36" i="82"/>
  <c r="B36" i="82"/>
  <c r="A36" i="82"/>
  <c r="D35" i="82"/>
  <c r="C35" i="82"/>
  <c r="B35" i="82"/>
  <c r="A35" i="82"/>
  <c r="D34" i="82"/>
  <c r="C34" i="82"/>
  <c r="B34" i="82"/>
  <c r="A34" i="82"/>
  <c r="D33" i="82"/>
  <c r="C33" i="82"/>
  <c r="B33" i="82"/>
  <c r="A33" i="82"/>
  <c r="D32" i="82"/>
  <c r="C32" i="82"/>
  <c r="B32" i="82"/>
  <c r="A32" i="82"/>
  <c r="D31" i="82"/>
  <c r="C31" i="82"/>
  <c r="B31" i="82"/>
  <c r="A31" i="82"/>
  <c r="D30" i="82"/>
  <c r="C30" i="82"/>
  <c r="B30" i="82"/>
  <c r="A30" i="82"/>
  <c r="D29" i="82"/>
  <c r="C29" i="82"/>
  <c r="B29" i="82"/>
  <c r="A29" i="82"/>
  <c r="D28" i="82"/>
  <c r="C28" i="82"/>
  <c r="B28" i="82"/>
  <c r="A28" i="82"/>
  <c r="D27" i="82"/>
  <c r="C27" i="82"/>
  <c r="B27" i="82"/>
  <c r="A27" i="82"/>
  <c r="D26" i="82"/>
  <c r="C26" i="82"/>
  <c r="B26" i="82"/>
  <c r="A26" i="82"/>
  <c r="D25" i="82"/>
  <c r="C25" i="82"/>
  <c r="B25" i="82"/>
  <c r="A25" i="82"/>
  <c r="D24" i="82"/>
  <c r="C24" i="82"/>
  <c r="B24" i="82"/>
  <c r="A24" i="82"/>
  <c r="D23" i="82"/>
  <c r="C23" i="82"/>
  <c r="B23" i="82"/>
  <c r="A23" i="82"/>
  <c r="D22" i="82"/>
  <c r="C22" i="82"/>
  <c r="B22" i="82"/>
  <c r="A22" i="82"/>
  <c r="D21" i="82"/>
  <c r="C21" i="82"/>
  <c r="B21" i="82"/>
  <c r="A21" i="82"/>
  <c r="D20" i="82"/>
  <c r="C20" i="82"/>
  <c r="B20" i="82"/>
  <c r="A20" i="82"/>
  <c r="D19" i="82"/>
  <c r="C19" i="82"/>
  <c r="B19" i="82"/>
  <c r="A19" i="82"/>
  <c r="D18" i="82"/>
  <c r="C18" i="82"/>
  <c r="B18" i="82"/>
  <c r="A18" i="82"/>
  <c r="D17" i="82"/>
  <c r="C17" i="82"/>
  <c r="B17" i="82"/>
  <c r="D16" i="82"/>
  <c r="C16" i="82"/>
  <c r="B16" i="82"/>
  <c r="A16" i="82"/>
  <c r="D15" i="82"/>
  <c r="C15" i="82"/>
  <c r="B15" i="82"/>
  <c r="D14" i="82"/>
  <c r="C14" i="82"/>
  <c r="B14" i="82"/>
  <c r="A14" i="82"/>
  <c r="D13" i="82"/>
  <c r="C13" i="82"/>
  <c r="B13" i="82"/>
  <c r="A13" i="82"/>
  <c r="D12" i="82"/>
  <c r="C12" i="82"/>
  <c r="B12" i="82"/>
  <c r="A12" i="82"/>
  <c r="D11" i="82"/>
  <c r="C11" i="82"/>
  <c r="B11" i="82"/>
  <c r="A11" i="82"/>
  <c r="D10" i="82"/>
  <c r="C10" i="82"/>
  <c r="B10" i="82"/>
  <c r="A10" i="82"/>
  <c r="D9" i="82"/>
  <c r="C9" i="82"/>
  <c r="B9" i="82"/>
  <c r="A9" i="82"/>
  <c r="D8" i="82"/>
  <c r="C8" i="82"/>
  <c r="B8" i="82"/>
  <c r="A8" i="82"/>
  <c r="D7" i="82"/>
  <c r="C7" i="82"/>
  <c r="B7" i="82"/>
  <c r="A7" i="82"/>
  <c r="D6" i="82"/>
  <c r="C6" i="82"/>
  <c r="B6" i="82"/>
  <c r="A6" i="82"/>
  <c r="D48" i="81"/>
  <c r="C48" i="81"/>
  <c r="B48" i="81"/>
  <c r="A48" i="81"/>
  <c r="D47" i="81"/>
  <c r="C47" i="81"/>
  <c r="B47" i="81"/>
  <c r="A47" i="81"/>
  <c r="D46" i="81"/>
  <c r="C46" i="81"/>
  <c r="B46" i="81"/>
  <c r="A46" i="81"/>
  <c r="D45" i="81"/>
  <c r="C45" i="81"/>
  <c r="B45" i="81"/>
  <c r="D42" i="81"/>
  <c r="C42" i="81"/>
  <c r="B42" i="81"/>
  <c r="A42" i="81"/>
  <c r="D41" i="81"/>
  <c r="C41" i="81"/>
  <c r="B41" i="81"/>
  <c r="A41" i="81"/>
  <c r="D40" i="81"/>
  <c r="C40" i="81"/>
  <c r="B40" i="81"/>
  <c r="A40" i="81"/>
  <c r="D39" i="81"/>
  <c r="C39" i="81"/>
  <c r="B39" i="81"/>
  <c r="A39" i="81"/>
  <c r="D38" i="81"/>
  <c r="C38" i="81"/>
  <c r="B38" i="81"/>
  <c r="A38" i="81"/>
  <c r="D37" i="81"/>
  <c r="C37" i="81"/>
  <c r="B37" i="81"/>
  <c r="A37" i="81"/>
  <c r="D36" i="81"/>
  <c r="C36" i="81"/>
  <c r="B36" i="81"/>
  <c r="A36" i="81"/>
  <c r="D35" i="81"/>
  <c r="C35" i="81"/>
  <c r="B35" i="81"/>
  <c r="A35" i="81"/>
  <c r="D34" i="81"/>
  <c r="C34" i="81"/>
  <c r="B34" i="81"/>
  <c r="A34" i="81"/>
  <c r="D33" i="81"/>
  <c r="C33" i="81"/>
  <c r="B33" i="81"/>
  <c r="A33" i="81"/>
  <c r="D32" i="81"/>
  <c r="C32" i="81"/>
  <c r="B32" i="81"/>
  <c r="A32" i="81"/>
  <c r="D31" i="81"/>
  <c r="C31" i="81"/>
  <c r="B31" i="81"/>
  <c r="A31" i="81"/>
  <c r="D30" i="81"/>
  <c r="C30" i="81"/>
  <c r="B30" i="81"/>
  <c r="A30" i="81"/>
  <c r="D29" i="81"/>
  <c r="C29" i="81"/>
  <c r="B29" i="81"/>
  <c r="A29" i="81"/>
  <c r="D28" i="81"/>
  <c r="C28" i="81"/>
  <c r="B28" i="81"/>
  <c r="A28" i="81"/>
  <c r="D27" i="81"/>
  <c r="C27" i="81"/>
  <c r="B27" i="81"/>
  <c r="A27" i="81"/>
  <c r="D26" i="81"/>
  <c r="C26" i="81"/>
  <c r="B26" i="81"/>
  <c r="A26" i="81"/>
  <c r="D25" i="81"/>
  <c r="C25" i="81"/>
  <c r="B25" i="81"/>
  <c r="A25" i="81"/>
  <c r="D24" i="81"/>
  <c r="C24" i="81"/>
  <c r="B24" i="81"/>
  <c r="A24" i="81"/>
  <c r="D23" i="81"/>
  <c r="C23" i="81"/>
  <c r="B23" i="81"/>
  <c r="A23" i="81"/>
  <c r="D22" i="81"/>
  <c r="C22" i="81"/>
  <c r="B22" i="81"/>
  <c r="A22" i="81"/>
  <c r="D21" i="81"/>
  <c r="C21" i="81"/>
  <c r="B21" i="81"/>
  <c r="A21" i="81"/>
  <c r="D20" i="81"/>
  <c r="C20" i="81"/>
  <c r="B20" i="81"/>
  <c r="A20" i="81"/>
  <c r="D19" i="81"/>
  <c r="C19" i="81"/>
  <c r="B19" i="81"/>
  <c r="A19" i="81"/>
  <c r="D18" i="81"/>
  <c r="C18" i="81"/>
  <c r="B18" i="81"/>
  <c r="A18" i="81"/>
  <c r="D17" i="81"/>
  <c r="C17" i="81"/>
  <c r="B17" i="81"/>
  <c r="D16" i="81"/>
  <c r="C16" i="81"/>
  <c r="B16" i="81"/>
  <c r="A16" i="81"/>
  <c r="D15" i="81"/>
  <c r="C15" i="81"/>
  <c r="B15" i="81"/>
  <c r="D14" i="81"/>
  <c r="C14" i="81"/>
  <c r="B14" i="81"/>
  <c r="A14" i="81"/>
  <c r="D13" i="81"/>
  <c r="C13" i="81"/>
  <c r="B13" i="81"/>
  <c r="A13" i="81"/>
  <c r="D12" i="81"/>
  <c r="C12" i="81"/>
  <c r="B12" i="81"/>
  <c r="A12" i="81"/>
  <c r="D11" i="81"/>
  <c r="C11" i="81"/>
  <c r="B11" i="81"/>
  <c r="A11" i="81"/>
  <c r="D10" i="81"/>
  <c r="C10" i="81"/>
  <c r="B10" i="81"/>
  <c r="A10" i="81"/>
  <c r="D9" i="81"/>
  <c r="C9" i="81"/>
  <c r="B9" i="81"/>
  <c r="A9" i="81"/>
  <c r="D8" i="81"/>
  <c r="C8" i="81"/>
  <c r="B8" i="81"/>
  <c r="A8" i="81"/>
  <c r="D7" i="81"/>
  <c r="C7" i="81"/>
  <c r="B7" i="81"/>
  <c r="A7" i="81"/>
  <c r="D6" i="81"/>
  <c r="C6" i="81"/>
  <c r="B6" i="81"/>
  <c r="A6" i="81"/>
  <c r="D48" i="80"/>
  <c r="C48" i="80"/>
  <c r="B48" i="80"/>
  <c r="A48" i="80"/>
  <c r="D47" i="80"/>
  <c r="C47" i="80"/>
  <c r="B47" i="80"/>
  <c r="A47" i="80"/>
  <c r="D46" i="80"/>
  <c r="C46" i="80"/>
  <c r="B46" i="80"/>
  <c r="A46" i="80"/>
  <c r="D45" i="80"/>
  <c r="C45" i="80"/>
  <c r="B45" i="80"/>
  <c r="D42" i="80"/>
  <c r="C42" i="80"/>
  <c r="B42" i="80"/>
  <c r="A42" i="80"/>
  <c r="D41" i="80"/>
  <c r="C41" i="80"/>
  <c r="B41" i="80"/>
  <c r="A41" i="80"/>
  <c r="D40" i="80"/>
  <c r="C40" i="80"/>
  <c r="B40" i="80"/>
  <c r="A40" i="80"/>
  <c r="D39" i="80"/>
  <c r="C39" i="80"/>
  <c r="B39" i="80"/>
  <c r="A39" i="80"/>
  <c r="D38" i="80"/>
  <c r="C38" i="80"/>
  <c r="B38" i="80"/>
  <c r="A38" i="80"/>
  <c r="D37" i="80"/>
  <c r="C37" i="80"/>
  <c r="B37" i="80"/>
  <c r="A37" i="80"/>
  <c r="D36" i="80"/>
  <c r="C36" i="80"/>
  <c r="B36" i="80"/>
  <c r="A36" i="80"/>
  <c r="D35" i="80"/>
  <c r="C35" i="80"/>
  <c r="B35" i="80"/>
  <c r="A35" i="80"/>
  <c r="D34" i="80"/>
  <c r="C34" i="80"/>
  <c r="B34" i="80"/>
  <c r="A34" i="80"/>
  <c r="D33" i="80"/>
  <c r="C33" i="80"/>
  <c r="B33" i="80"/>
  <c r="A33" i="80"/>
  <c r="D32" i="80"/>
  <c r="C32" i="80"/>
  <c r="B32" i="80"/>
  <c r="A32" i="80"/>
  <c r="D31" i="80"/>
  <c r="C31" i="80"/>
  <c r="B31" i="80"/>
  <c r="A31" i="80"/>
  <c r="D30" i="80"/>
  <c r="C30" i="80"/>
  <c r="B30" i="80"/>
  <c r="A30" i="80"/>
  <c r="D29" i="80"/>
  <c r="C29" i="80"/>
  <c r="B29" i="80"/>
  <c r="A29" i="80"/>
  <c r="D28" i="80"/>
  <c r="C28" i="80"/>
  <c r="B28" i="80"/>
  <c r="A28" i="80"/>
  <c r="D27" i="80"/>
  <c r="C27" i="80"/>
  <c r="B27" i="80"/>
  <c r="A27" i="80"/>
  <c r="D26" i="80"/>
  <c r="C26" i="80"/>
  <c r="B26" i="80"/>
  <c r="A26" i="80"/>
  <c r="D25" i="80"/>
  <c r="C25" i="80"/>
  <c r="B25" i="80"/>
  <c r="A25" i="80"/>
  <c r="D24" i="80"/>
  <c r="C24" i="80"/>
  <c r="B24" i="80"/>
  <c r="A24" i="80"/>
  <c r="D23" i="80"/>
  <c r="C23" i="80"/>
  <c r="B23" i="80"/>
  <c r="A23" i="80"/>
  <c r="D22" i="80"/>
  <c r="C22" i="80"/>
  <c r="B22" i="80"/>
  <c r="A22" i="80"/>
  <c r="D21" i="80"/>
  <c r="C21" i="80"/>
  <c r="B21" i="80"/>
  <c r="A21" i="80"/>
  <c r="D20" i="80"/>
  <c r="C20" i="80"/>
  <c r="B20" i="80"/>
  <c r="A20" i="80"/>
  <c r="D19" i="80"/>
  <c r="C19" i="80"/>
  <c r="B19" i="80"/>
  <c r="A19" i="80"/>
  <c r="D18" i="80"/>
  <c r="C18" i="80"/>
  <c r="B18" i="80"/>
  <c r="A18" i="80"/>
  <c r="D17" i="80"/>
  <c r="C17" i="80"/>
  <c r="B17" i="80"/>
  <c r="D16" i="80"/>
  <c r="C16" i="80"/>
  <c r="B16" i="80"/>
  <c r="A16" i="80"/>
  <c r="D15" i="80"/>
  <c r="C15" i="80"/>
  <c r="B15" i="80"/>
  <c r="D14" i="80"/>
  <c r="C14" i="80"/>
  <c r="B14" i="80"/>
  <c r="A14" i="80"/>
  <c r="D13" i="80"/>
  <c r="C13" i="80"/>
  <c r="B13" i="80"/>
  <c r="A13" i="80"/>
  <c r="D12" i="80"/>
  <c r="C12" i="80"/>
  <c r="B12" i="80"/>
  <c r="A12" i="80"/>
  <c r="D11" i="80"/>
  <c r="C11" i="80"/>
  <c r="B11" i="80"/>
  <c r="A11" i="80"/>
  <c r="D10" i="80"/>
  <c r="C10" i="80"/>
  <c r="B10" i="80"/>
  <c r="A10" i="80"/>
  <c r="D9" i="80"/>
  <c r="C9" i="80"/>
  <c r="B9" i="80"/>
  <c r="A9" i="80"/>
  <c r="D8" i="80"/>
  <c r="C8" i="80"/>
  <c r="B8" i="80"/>
  <c r="A8" i="80"/>
  <c r="D7" i="80"/>
  <c r="C7" i="80"/>
  <c r="B7" i="80"/>
  <c r="A7" i="80"/>
  <c r="D6" i="80"/>
  <c r="C6" i="80"/>
  <c r="B6" i="80"/>
  <c r="A6" i="80"/>
  <c r="D48" i="79"/>
  <c r="C48" i="79"/>
  <c r="B48" i="79"/>
  <c r="A48" i="79"/>
  <c r="D47" i="79"/>
  <c r="C47" i="79"/>
  <c r="B47" i="79"/>
  <c r="A47" i="79"/>
  <c r="D46" i="79"/>
  <c r="C46" i="79"/>
  <c r="B46" i="79"/>
  <c r="A46" i="79"/>
  <c r="D45" i="79"/>
  <c r="C45" i="79"/>
  <c r="B45" i="79"/>
  <c r="D42" i="79"/>
  <c r="C42" i="79"/>
  <c r="B42" i="79"/>
  <c r="A42" i="79"/>
  <c r="D41" i="79"/>
  <c r="C41" i="79"/>
  <c r="B41" i="79"/>
  <c r="A41" i="79"/>
  <c r="D40" i="79"/>
  <c r="C40" i="79"/>
  <c r="B40" i="79"/>
  <c r="A40" i="79"/>
  <c r="D39" i="79"/>
  <c r="C39" i="79"/>
  <c r="B39" i="79"/>
  <c r="A39" i="79"/>
  <c r="D38" i="79"/>
  <c r="C38" i="79"/>
  <c r="B38" i="79"/>
  <c r="A38" i="79"/>
  <c r="D37" i="79"/>
  <c r="C37" i="79"/>
  <c r="B37" i="79"/>
  <c r="A37" i="79"/>
  <c r="D36" i="79"/>
  <c r="C36" i="79"/>
  <c r="B36" i="79"/>
  <c r="A36" i="79"/>
  <c r="D35" i="79"/>
  <c r="C35" i="79"/>
  <c r="B35" i="79"/>
  <c r="A35" i="79"/>
  <c r="D34" i="79"/>
  <c r="C34" i="79"/>
  <c r="B34" i="79"/>
  <c r="A34" i="79"/>
  <c r="D33" i="79"/>
  <c r="C33" i="79"/>
  <c r="B33" i="79"/>
  <c r="A33" i="79"/>
  <c r="D32" i="79"/>
  <c r="C32" i="79"/>
  <c r="B32" i="79"/>
  <c r="A32" i="79"/>
  <c r="D31" i="79"/>
  <c r="C31" i="79"/>
  <c r="B31" i="79"/>
  <c r="A31" i="79"/>
  <c r="D30" i="79"/>
  <c r="C30" i="79"/>
  <c r="B30" i="79"/>
  <c r="A30" i="79"/>
  <c r="D29" i="79"/>
  <c r="C29" i="79"/>
  <c r="B29" i="79"/>
  <c r="A29" i="79"/>
  <c r="D28" i="79"/>
  <c r="C28" i="79"/>
  <c r="B28" i="79"/>
  <c r="A28" i="79"/>
  <c r="D27" i="79"/>
  <c r="C27" i="79"/>
  <c r="B27" i="79"/>
  <c r="A27" i="79"/>
  <c r="D26" i="79"/>
  <c r="C26" i="79"/>
  <c r="B26" i="79"/>
  <c r="A26" i="79"/>
  <c r="D25" i="79"/>
  <c r="C25" i="79"/>
  <c r="B25" i="79"/>
  <c r="A25" i="79"/>
  <c r="D24" i="79"/>
  <c r="C24" i="79"/>
  <c r="B24" i="79"/>
  <c r="A24" i="79"/>
  <c r="D23" i="79"/>
  <c r="C23" i="79"/>
  <c r="B23" i="79"/>
  <c r="A23" i="79"/>
  <c r="D22" i="79"/>
  <c r="C22" i="79"/>
  <c r="B22" i="79"/>
  <c r="A22" i="79"/>
  <c r="D21" i="79"/>
  <c r="C21" i="79"/>
  <c r="B21" i="79"/>
  <c r="A21" i="79"/>
  <c r="D20" i="79"/>
  <c r="C20" i="79"/>
  <c r="B20" i="79"/>
  <c r="A20" i="79"/>
  <c r="D19" i="79"/>
  <c r="C19" i="79"/>
  <c r="B19" i="79"/>
  <c r="A19" i="79"/>
  <c r="D18" i="79"/>
  <c r="C18" i="79"/>
  <c r="B18" i="79"/>
  <c r="A18" i="79"/>
  <c r="D17" i="79"/>
  <c r="C17" i="79"/>
  <c r="B17" i="79"/>
  <c r="D16" i="79"/>
  <c r="C16" i="79"/>
  <c r="B16" i="79"/>
  <c r="A16" i="79"/>
  <c r="D15" i="79"/>
  <c r="C15" i="79"/>
  <c r="B15" i="79"/>
  <c r="D14" i="79"/>
  <c r="C14" i="79"/>
  <c r="B14" i="79"/>
  <c r="A14" i="79"/>
  <c r="D13" i="79"/>
  <c r="C13" i="79"/>
  <c r="B13" i="79"/>
  <c r="A13" i="79"/>
  <c r="D12" i="79"/>
  <c r="C12" i="79"/>
  <c r="B12" i="79"/>
  <c r="A12" i="79"/>
  <c r="D11" i="79"/>
  <c r="C11" i="79"/>
  <c r="B11" i="79"/>
  <c r="A11" i="79"/>
  <c r="D10" i="79"/>
  <c r="C10" i="79"/>
  <c r="B10" i="79"/>
  <c r="A10" i="79"/>
  <c r="D9" i="79"/>
  <c r="C9" i="79"/>
  <c r="B9" i="79"/>
  <c r="A9" i="79"/>
  <c r="D8" i="79"/>
  <c r="C8" i="79"/>
  <c r="B8" i="79"/>
  <c r="A8" i="79"/>
  <c r="D7" i="79"/>
  <c r="C7" i="79"/>
  <c r="B7" i="79"/>
  <c r="A7" i="79"/>
  <c r="D6" i="79"/>
  <c r="C6" i="79"/>
  <c r="B6" i="79"/>
  <c r="A6" i="79"/>
  <c r="D48" i="78"/>
  <c r="C48" i="78"/>
  <c r="B48" i="78"/>
  <c r="A48" i="78"/>
  <c r="D47" i="78"/>
  <c r="C47" i="78"/>
  <c r="B47" i="78"/>
  <c r="A47" i="78"/>
  <c r="D46" i="78"/>
  <c r="C46" i="78"/>
  <c r="B46" i="78"/>
  <c r="A46" i="78"/>
  <c r="D45" i="78"/>
  <c r="C45" i="78"/>
  <c r="B45" i="78"/>
  <c r="D42" i="78"/>
  <c r="C42" i="78"/>
  <c r="B42" i="78"/>
  <c r="A42" i="78"/>
  <c r="D41" i="78"/>
  <c r="C41" i="78"/>
  <c r="B41" i="78"/>
  <c r="A41" i="78"/>
  <c r="D40" i="78"/>
  <c r="C40" i="78"/>
  <c r="B40" i="78"/>
  <c r="A40" i="78"/>
  <c r="D39" i="78"/>
  <c r="C39" i="78"/>
  <c r="B39" i="78"/>
  <c r="A39" i="78"/>
  <c r="D38" i="78"/>
  <c r="C38" i="78"/>
  <c r="B38" i="78"/>
  <c r="A38" i="78"/>
  <c r="D37" i="78"/>
  <c r="C37" i="78"/>
  <c r="B37" i="78"/>
  <c r="A37" i="78"/>
  <c r="D36" i="78"/>
  <c r="C36" i="78"/>
  <c r="B36" i="78"/>
  <c r="A36" i="78"/>
  <c r="D35" i="78"/>
  <c r="C35" i="78"/>
  <c r="B35" i="78"/>
  <c r="A35" i="78"/>
  <c r="D34" i="78"/>
  <c r="C34" i="78"/>
  <c r="B34" i="78"/>
  <c r="A34" i="78"/>
  <c r="D33" i="78"/>
  <c r="C33" i="78"/>
  <c r="B33" i="78"/>
  <c r="A33" i="78"/>
  <c r="D32" i="78"/>
  <c r="C32" i="78"/>
  <c r="B32" i="78"/>
  <c r="A32" i="78"/>
  <c r="D31" i="78"/>
  <c r="C31" i="78"/>
  <c r="B31" i="78"/>
  <c r="A31" i="78"/>
  <c r="D30" i="78"/>
  <c r="C30" i="78"/>
  <c r="B30" i="78"/>
  <c r="A30" i="78"/>
  <c r="D29" i="78"/>
  <c r="C29" i="78"/>
  <c r="B29" i="78"/>
  <c r="A29" i="78"/>
  <c r="D28" i="78"/>
  <c r="C28" i="78"/>
  <c r="B28" i="78"/>
  <c r="A28" i="78"/>
  <c r="D27" i="78"/>
  <c r="C27" i="78"/>
  <c r="B27" i="78"/>
  <c r="A27" i="78"/>
  <c r="D26" i="78"/>
  <c r="C26" i="78"/>
  <c r="B26" i="78"/>
  <c r="A26" i="78"/>
  <c r="D25" i="78"/>
  <c r="C25" i="78"/>
  <c r="B25" i="78"/>
  <c r="A25" i="78"/>
  <c r="D24" i="78"/>
  <c r="C24" i="78"/>
  <c r="B24" i="78"/>
  <c r="A24" i="78"/>
  <c r="D23" i="78"/>
  <c r="C23" i="78"/>
  <c r="B23" i="78"/>
  <c r="A23" i="78"/>
  <c r="D22" i="78"/>
  <c r="C22" i="78"/>
  <c r="B22" i="78"/>
  <c r="A22" i="78"/>
  <c r="D21" i="78"/>
  <c r="C21" i="78"/>
  <c r="B21" i="78"/>
  <c r="A21" i="78"/>
  <c r="D20" i="78"/>
  <c r="C20" i="78"/>
  <c r="B20" i="78"/>
  <c r="A20" i="78"/>
  <c r="D19" i="78"/>
  <c r="C19" i="78"/>
  <c r="B19" i="78"/>
  <c r="A19" i="78"/>
  <c r="D18" i="78"/>
  <c r="C18" i="78"/>
  <c r="B18" i="78"/>
  <c r="A18" i="78"/>
  <c r="D17" i="78"/>
  <c r="C17" i="78"/>
  <c r="B17" i="78"/>
  <c r="D16" i="78"/>
  <c r="C16" i="78"/>
  <c r="B16" i="78"/>
  <c r="A16" i="78"/>
  <c r="D15" i="78"/>
  <c r="C15" i="78"/>
  <c r="B15" i="78"/>
  <c r="D14" i="78"/>
  <c r="C14" i="78"/>
  <c r="B14" i="78"/>
  <c r="A14" i="78"/>
  <c r="D13" i="78"/>
  <c r="C13" i="78"/>
  <c r="B13" i="78"/>
  <c r="A13" i="78"/>
  <c r="D12" i="78"/>
  <c r="C12" i="78"/>
  <c r="B12" i="78"/>
  <c r="A12" i="78"/>
  <c r="D11" i="78"/>
  <c r="C11" i="78"/>
  <c r="B11" i="78"/>
  <c r="A11" i="78"/>
  <c r="D10" i="78"/>
  <c r="C10" i="78"/>
  <c r="B10" i="78"/>
  <c r="A10" i="78"/>
  <c r="D9" i="78"/>
  <c r="C9" i="78"/>
  <c r="B9" i="78"/>
  <c r="A9" i="78"/>
  <c r="D8" i="78"/>
  <c r="C8" i="78"/>
  <c r="B8" i="78"/>
  <c r="A8" i="78"/>
  <c r="D7" i="78"/>
  <c r="C7" i="78"/>
  <c r="B7" i="78"/>
  <c r="A7" i="78"/>
  <c r="D6" i="78"/>
  <c r="C6" i="78"/>
  <c r="B6" i="78"/>
  <c r="A6" i="78"/>
  <c r="D48" i="77"/>
  <c r="C48" i="77"/>
  <c r="B48" i="77"/>
  <c r="A48" i="77"/>
  <c r="D47" i="77"/>
  <c r="C47" i="77"/>
  <c r="B47" i="77"/>
  <c r="A47" i="77"/>
  <c r="D46" i="77"/>
  <c r="C46" i="77"/>
  <c r="B46" i="77"/>
  <c r="A46" i="77"/>
  <c r="D45" i="77"/>
  <c r="C45" i="77"/>
  <c r="B45" i="77"/>
  <c r="D42" i="77"/>
  <c r="C42" i="77"/>
  <c r="B42" i="77"/>
  <c r="A42" i="77"/>
  <c r="D41" i="77"/>
  <c r="C41" i="77"/>
  <c r="B41" i="77"/>
  <c r="A41" i="77"/>
  <c r="D40" i="77"/>
  <c r="C40" i="77"/>
  <c r="B40" i="77"/>
  <c r="A40" i="77"/>
  <c r="D39" i="77"/>
  <c r="C39" i="77"/>
  <c r="B39" i="77"/>
  <c r="A39" i="77"/>
  <c r="D38" i="77"/>
  <c r="C38" i="77"/>
  <c r="B38" i="77"/>
  <c r="A38" i="77"/>
  <c r="D37" i="77"/>
  <c r="C37" i="77"/>
  <c r="B37" i="77"/>
  <c r="A37" i="77"/>
  <c r="D36" i="77"/>
  <c r="C36" i="77"/>
  <c r="B36" i="77"/>
  <c r="A36" i="77"/>
  <c r="D35" i="77"/>
  <c r="C35" i="77"/>
  <c r="B35" i="77"/>
  <c r="A35" i="77"/>
  <c r="D34" i="77"/>
  <c r="C34" i="77"/>
  <c r="B34" i="77"/>
  <c r="A34" i="77"/>
  <c r="D33" i="77"/>
  <c r="C33" i="77"/>
  <c r="B33" i="77"/>
  <c r="A33" i="77"/>
  <c r="D32" i="77"/>
  <c r="C32" i="77"/>
  <c r="B32" i="77"/>
  <c r="A32" i="77"/>
  <c r="D31" i="77"/>
  <c r="C31" i="77"/>
  <c r="B31" i="77"/>
  <c r="A31" i="77"/>
  <c r="D30" i="77"/>
  <c r="C30" i="77"/>
  <c r="B30" i="77"/>
  <c r="A30" i="77"/>
  <c r="D29" i="77"/>
  <c r="C29" i="77"/>
  <c r="B29" i="77"/>
  <c r="A29" i="77"/>
  <c r="D28" i="77"/>
  <c r="C28" i="77"/>
  <c r="B28" i="77"/>
  <c r="A28" i="77"/>
  <c r="D27" i="77"/>
  <c r="C27" i="77"/>
  <c r="B27" i="77"/>
  <c r="A27" i="77"/>
  <c r="D26" i="77"/>
  <c r="C26" i="77"/>
  <c r="B26" i="77"/>
  <c r="A26" i="77"/>
  <c r="D25" i="77"/>
  <c r="C25" i="77"/>
  <c r="B25" i="77"/>
  <c r="A25" i="77"/>
  <c r="D24" i="77"/>
  <c r="C24" i="77"/>
  <c r="B24" i="77"/>
  <c r="A24" i="77"/>
  <c r="D23" i="77"/>
  <c r="C23" i="77"/>
  <c r="B23" i="77"/>
  <c r="A23" i="77"/>
  <c r="D22" i="77"/>
  <c r="C22" i="77"/>
  <c r="B22" i="77"/>
  <c r="A22" i="77"/>
  <c r="D21" i="77"/>
  <c r="C21" i="77"/>
  <c r="B21" i="77"/>
  <c r="A21" i="77"/>
  <c r="D20" i="77"/>
  <c r="C20" i="77"/>
  <c r="B20" i="77"/>
  <c r="A20" i="77"/>
  <c r="D19" i="77"/>
  <c r="C19" i="77"/>
  <c r="B19" i="77"/>
  <c r="A19" i="77"/>
  <c r="D18" i="77"/>
  <c r="C18" i="77"/>
  <c r="B18" i="77"/>
  <c r="A18" i="77"/>
  <c r="D17" i="77"/>
  <c r="C17" i="77"/>
  <c r="B17" i="77"/>
  <c r="D16" i="77"/>
  <c r="C16" i="77"/>
  <c r="B16" i="77"/>
  <c r="A16" i="77"/>
  <c r="D15" i="77"/>
  <c r="C15" i="77"/>
  <c r="B15" i="77"/>
  <c r="D14" i="77"/>
  <c r="C14" i="77"/>
  <c r="B14" i="77"/>
  <c r="A14" i="77"/>
  <c r="D13" i="77"/>
  <c r="C13" i="77"/>
  <c r="B13" i="77"/>
  <c r="A13" i="77"/>
  <c r="D12" i="77"/>
  <c r="C12" i="77"/>
  <c r="B12" i="77"/>
  <c r="A12" i="77"/>
  <c r="D11" i="77"/>
  <c r="C11" i="77"/>
  <c r="B11" i="77"/>
  <c r="A11" i="77"/>
  <c r="D10" i="77"/>
  <c r="C10" i="77"/>
  <c r="B10" i="77"/>
  <c r="A10" i="77"/>
  <c r="D9" i="77"/>
  <c r="C9" i="77"/>
  <c r="B9" i="77"/>
  <c r="A9" i="77"/>
  <c r="D8" i="77"/>
  <c r="C8" i="77"/>
  <c r="B8" i="77"/>
  <c r="A8" i="77"/>
  <c r="D7" i="77"/>
  <c r="C7" i="77"/>
  <c r="B7" i="77"/>
  <c r="A7" i="77"/>
  <c r="D6" i="77"/>
  <c r="C6" i="77"/>
  <c r="B6" i="77"/>
  <c r="A6" i="77"/>
  <c r="D48" i="76"/>
  <c r="C48" i="76"/>
  <c r="B48" i="76"/>
  <c r="A48" i="76"/>
  <c r="D47" i="76"/>
  <c r="C47" i="76"/>
  <c r="B47" i="76"/>
  <c r="A47" i="76"/>
  <c r="D46" i="76"/>
  <c r="C46" i="76"/>
  <c r="B46" i="76"/>
  <c r="A46" i="76"/>
  <c r="D45" i="76"/>
  <c r="C45" i="76"/>
  <c r="B45" i="76"/>
  <c r="D42" i="76"/>
  <c r="C42" i="76"/>
  <c r="B42" i="76"/>
  <c r="A42" i="76"/>
  <c r="D41" i="76"/>
  <c r="C41" i="76"/>
  <c r="B41" i="76"/>
  <c r="A41" i="76"/>
  <c r="D40" i="76"/>
  <c r="C40" i="76"/>
  <c r="B40" i="76"/>
  <c r="A40" i="76"/>
  <c r="D39" i="76"/>
  <c r="C39" i="76"/>
  <c r="B39" i="76"/>
  <c r="A39" i="76"/>
  <c r="D38" i="76"/>
  <c r="C38" i="76"/>
  <c r="B38" i="76"/>
  <c r="A38" i="76"/>
  <c r="D37" i="76"/>
  <c r="C37" i="76"/>
  <c r="B37" i="76"/>
  <c r="A37" i="76"/>
  <c r="D36" i="76"/>
  <c r="C36" i="76"/>
  <c r="B36" i="76"/>
  <c r="A36" i="76"/>
  <c r="D35" i="76"/>
  <c r="C35" i="76"/>
  <c r="B35" i="76"/>
  <c r="A35" i="76"/>
  <c r="D34" i="76"/>
  <c r="C34" i="76"/>
  <c r="B34" i="76"/>
  <c r="A34" i="76"/>
  <c r="D33" i="76"/>
  <c r="C33" i="76"/>
  <c r="B33" i="76"/>
  <c r="A33" i="76"/>
  <c r="D32" i="76"/>
  <c r="C32" i="76"/>
  <c r="B32" i="76"/>
  <c r="A32" i="76"/>
  <c r="D31" i="76"/>
  <c r="C31" i="76"/>
  <c r="B31" i="76"/>
  <c r="A31" i="76"/>
  <c r="D30" i="76"/>
  <c r="C30" i="76"/>
  <c r="B30" i="76"/>
  <c r="A30" i="76"/>
  <c r="D29" i="76"/>
  <c r="C29" i="76"/>
  <c r="B29" i="76"/>
  <c r="A29" i="76"/>
  <c r="D28" i="76"/>
  <c r="C28" i="76"/>
  <c r="B28" i="76"/>
  <c r="A28" i="76"/>
  <c r="D27" i="76"/>
  <c r="C27" i="76"/>
  <c r="B27" i="76"/>
  <c r="A27" i="76"/>
  <c r="D26" i="76"/>
  <c r="C26" i="76"/>
  <c r="B26" i="76"/>
  <c r="A26" i="76"/>
  <c r="D25" i="76"/>
  <c r="C25" i="76"/>
  <c r="B25" i="76"/>
  <c r="A25" i="76"/>
  <c r="D24" i="76"/>
  <c r="C24" i="76"/>
  <c r="B24" i="76"/>
  <c r="A24" i="76"/>
  <c r="D23" i="76"/>
  <c r="C23" i="76"/>
  <c r="B23" i="76"/>
  <c r="A23" i="76"/>
  <c r="D22" i="76"/>
  <c r="C22" i="76"/>
  <c r="B22" i="76"/>
  <c r="A22" i="76"/>
  <c r="D21" i="76"/>
  <c r="C21" i="76"/>
  <c r="B21" i="76"/>
  <c r="A21" i="76"/>
  <c r="D20" i="76"/>
  <c r="C20" i="76"/>
  <c r="B20" i="76"/>
  <c r="A20" i="76"/>
  <c r="D19" i="76"/>
  <c r="C19" i="76"/>
  <c r="B19" i="76"/>
  <c r="A19" i="76"/>
  <c r="D18" i="76"/>
  <c r="C18" i="76"/>
  <c r="B18" i="76"/>
  <c r="A18" i="76"/>
  <c r="D17" i="76"/>
  <c r="C17" i="76"/>
  <c r="B17" i="76"/>
  <c r="D16" i="76"/>
  <c r="C16" i="76"/>
  <c r="B16" i="76"/>
  <c r="A16" i="76"/>
  <c r="D15" i="76"/>
  <c r="C15" i="76"/>
  <c r="B15" i="76"/>
  <c r="D14" i="76"/>
  <c r="C14" i="76"/>
  <c r="B14" i="76"/>
  <c r="A14" i="76"/>
  <c r="D13" i="76"/>
  <c r="C13" i="76"/>
  <c r="B13" i="76"/>
  <c r="A13" i="76"/>
  <c r="D12" i="76"/>
  <c r="C12" i="76"/>
  <c r="B12" i="76"/>
  <c r="A12" i="76"/>
  <c r="D11" i="76"/>
  <c r="C11" i="76"/>
  <c r="B11" i="76"/>
  <c r="A11" i="76"/>
  <c r="D10" i="76"/>
  <c r="C10" i="76"/>
  <c r="B10" i="76"/>
  <c r="A10" i="76"/>
  <c r="D9" i="76"/>
  <c r="C9" i="76"/>
  <c r="B9" i="76"/>
  <c r="A9" i="76"/>
  <c r="D8" i="76"/>
  <c r="C8" i="76"/>
  <c r="B8" i="76"/>
  <c r="A8" i="76"/>
  <c r="D7" i="76"/>
  <c r="C7" i="76"/>
  <c r="B7" i="76"/>
  <c r="A7" i="76"/>
  <c r="D6" i="76"/>
  <c r="C6" i="76"/>
  <c r="B6" i="76"/>
  <c r="A6" i="76"/>
  <c r="D48" i="75"/>
  <c r="C48" i="75"/>
  <c r="B48" i="75"/>
  <c r="A48" i="75"/>
  <c r="D47" i="75"/>
  <c r="C47" i="75"/>
  <c r="B47" i="75"/>
  <c r="A47" i="75"/>
  <c r="D46" i="75"/>
  <c r="C46" i="75"/>
  <c r="B46" i="75"/>
  <c r="A46" i="75"/>
  <c r="D45" i="75"/>
  <c r="C45" i="75"/>
  <c r="B45" i="75"/>
  <c r="D42" i="75"/>
  <c r="C42" i="75"/>
  <c r="B42" i="75"/>
  <c r="A42" i="75"/>
  <c r="D41" i="75"/>
  <c r="C41" i="75"/>
  <c r="B41" i="75"/>
  <c r="A41" i="75"/>
  <c r="D40" i="75"/>
  <c r="C40" i="75"/>
  <c r="B40" i="75"/>
  <c r="A40" i="75"/>
  <c r="D39" i="75"/>
  <c r="C39" i="75"/>
  <c r="B39" i="75"/>
  <c r="A39" i="75"/>
  <c r="D38" i="75"/>
  <c r="C38" i="75"/>
  <c r="B38" i="75"/>
  <c r="A38" i="75"/>
  <c r="D37" i="75"/>
  <c r="C37" i="75"/>
  <c r="B37" i="75"/>
  <c r="A37" i="75"/>
  <c r="D36" i="75"/>
  <c r="C36" i="75"/>
  <c r="B36" i="75"/>
  <c r="A36" i="75"/>
  <c r="D35" i="75"/>
  <c r="C35" i="75"/>
  <c r="B35" i="75"/>
  <c r="A35" i="75"/>
  <c r="D34" i="75"/>
  <c r="C34" i="75"/>
  <c r="B34" i="75"/>
  <c r="A34" i="75"/>
  <c r="D33" i="75"/>
  <c r="C33" i="75"/>
  <c r="B33" i="75"/>
  <c r="A33" i="75"/>
  <c r="D32" i="75"/>
  <c r="C32" i="75"/>
  <c r="B32" i="75"/>
  <c r="A32" i="75"/>
  <c r="D31" i="75"/>
  <c r="C31" i="75"/>
  <c r="B31" i="75"/>
  <c r="A31" i="75"/>
  <c r="D30" i="75"/>
  <c r="C30" i="75"/>
  <c r="B30" i="75"/>
  <c r="A30" i="75"/>
  <c r="D29" i="75"/>
  <c r="C29" i="75"/>
  <c r="B29" i="75"/>
  <c r="A29" i="75"/>
  <c r="D28" i="75"/>
  <c r="C28" i="75"/>
  <c r="B28" i="75"/>
  <c r="A28" i="75"/>
  <c r="D27" i="75"/>
  <c r="C27" i="75"/>
  <c r="B27" i="75"/>
  <c r="A27" i="75"/>
  <c r="D26" i="75"/>
  <c r="C26" i="75"/>
  <c r="B26" i="75"/>
  <c r="A26" i="75"/>
  <c r="D25" i="75"/>
  <c r="C25" i="75"/>
  <c r="B25" i="75"/>
  <c r="A25" i="75"/>
  <c r="D24" i="75"/>
  <c r="C24" i="75"/>
  <c r="B24" i="75"/>
  <c r="A24" i="75"/>
  <c r="D23" i="75"/>
  <c r="C23" i="75"/>
  <c r="B23" i="75"/>
  <c r="A23" i="75"/>
  <c r="D22" i="75"/>
  <c r="C22" i="75"/>
  <c r="B22" i="75"/>
  <c r="A22" i="75"/>
  <c r="D21" i="75"/>
  <c r="C21" i="75"/>
  <c r="B21" i="75"/>
  <c r="A21" i="75"/>
  <c r="D20" i="75"/>
  <c r="C20" i="75"/>
  <c r="B20" i="75"/>
  <c r="A20" i="75"/>
  <c r="D19" i="75"/>
  <c r="C19" i="75"/>
  <c r="B19" i="75"/>
  <c r="A19" i="75"/>
  <c r="D18" i="75"/>
  <c r="C18" i="75"/>
  <c r="B18" i="75"/>
  <c r="A18" i="75"/>
  <c r="D17" i="75"/>
  <c r="C17" i="75"/>
  <c r="B17" i="75"/>
  <c r="D16" i="75"/>
  <c r="C16" i="75"/>
  <c r="B16" i="75"/>
  <c r="A16" i="75"/>
  <c r="D15" i="75"/>
  <c r="C15" i="75"/>
  <c r="B15" i="75"/>
  <c r="D14" i="75"/>
  <c r="C14" i="75"/>
  <c r="B14" i="75"/>
  <c r="A14" i="75"/>
  <c r="D13" i="75"/>
  <c r="C13" i="75"/>
  <c r="B13" i="75"/>
  <c r="A13" i="75"/>
  <c r="D12" i="75"/>
  <c r="C12" i="75"/>
  <c r="B12" i="75"/>
  <c r="A12" i="75"/>
  <c r="D11" i="75"/>
  <c r="C11" i="75"/>
  <c r="B11" i="75"/>
  <c r="A11" i="75"/>
  <c r="D10" i="75"/>
  <c r="C10" i="75"/>
  <c r="B10" i="75"/>
  <c r="A10" i="75"/>
  <c r="D9" i="75"/>
  <c r="C9" i="75"/>
  <c r="B9" i="75"/>
  <c r="A9" i="75"/>
  <c r="D8" i="75"/>
  <c r="C8" i="75"/>
  <c r="B8" i="75"/>
  <c r="A8" i="75"/>
  <c r="D7" i="75"/>
  <c r="C7" i="75"/>
  <c r="B7" i="75"/>
  <c r="A7" i="75"/>
  <c r="D6" i="75"/>
  <c r="C6" i="75"/>
  <c r="B6" i="75"/>
  <c r="A6" i="75"/>
  <c r="D48" i="74"/>
  <c r="C48" i="74"/>
  <c r="B48" i="74"/>
  <c r="A48" i="74"/>
  <c r="D47" i="74"/>
  <c r="C47" i="74"/>
  <c r="B47" i="74"/>
  <c r="A47" i="74"/>
  <c r="D46" i="74"/>
  <c r="C46" i="74"/>
  <c r="B46" i="74"/>
  <c r="A46" i="74"/>
  <c r="D45" i="74"/>
  <c r="C45" i="74"/>
  <c r="B45" i="74"/>
  <c r="D42" i="74"/>
  <c r="C42" i="74"/>
  <c r="B42" i="74"/>
  <c r="A42" i="74"/>
  <c r="D41" i="74"/>
  <c r="C41" i="74"/>
  <c r="B41" i="74"/>
  <c r="A41" i="74"/>
  <c r="D40" i="74"/>
  <c r="C40" i="74"/>
  <c r="B40" i="74"/>
  <c r="A40" i="74"/>
  <c r="D39" i="74"/>
  <c r="C39" i="74"/>
  <c r="B39" i="74"/>
  <c r="A39" i="74"/>
  <c r="D38" i="74"/>
  <c r="C38" i="74"/>
  <c r="B38" i="74"/>
  <c r="A38" i="74"/>
  <c r="D37" i="74"/>
  <c r="C37" i="74"/>
  <c r="B37" i="74"/>
  <c r="A37" i="74"/>
  <c r="D36" i="74"/>
  <c r="C36" i="74"/>
  <c r="B36" i="74"/>
  <c r="A36" i="74"/>
  <c r="D35" i="74"/>
  <c r="C35" i="74"/>
  <c r="B35" i="74"/>
  <c r="A35" i="74"/>
  <c r="D34" i="74"/>
  <c r="C34" i="74"/>
  <c r="B34" i="74"/>
  <c r="A34" i="74"/>
  <c r="D33" i="74"/>
  <c r="C33" i="74"/>
  <c r="B33" i="74"/>
  <c r="A33" i="74"/>
  <c r="D32" i="74"/>
  <c r="C32" i="74"/>
  <c r="B32" i="74"/>
  <c r="A32" i="74"/>
  <c r="D31" i="74"/>
  <c r="C31" i="74"/>
  <c r="B31" i="74"/>
  <c r="A31" i="74"/>
  <c r="D30" i="74"/>
  <c r="C30" i="74"/>
  <c r="B30" i="74"/>
  <c r="A30" i="74"/>
  <c r="D29" i="74"/>
  <c r="C29" i="74"/>
  <c r="B29" i="74"/>
  <c r="A29" i="74"/>
  <c r="D28" i="74"/>
  <c r="C28" i="74"/>
  <c r="B28" i="74"/>
  <c r="A28" i="74"/>
  <c r="D27" i="74"/>
  <c r="C27" i="74"/>
  <c r="B27" i="74"/>
  <c r="A27" i="74"/>
  <c r="D26" i="74"/>
  <c r="C26" i="74"/>
  <c r="B26" i="74"/>
  <c r="A26" i="74"/>
  <c r="D25" i="74"/>
  <c r="C25" i="74"/>
  <c r="B25" i="74"/>
  <c r="A25" i="74"/>
  <c r="D24" i="74"/>
  <c r="C24" i="74"/>
  <c r="B24" i="74"/>
  <c r="A24" i="74"/>
  <c r="D23" i="74"/>
  <c r="C23" i="74"/>
  <c r="B23" i="74"/>
  <c r="A23" i="74"/>
  <c r="D22" i="74"/>
  <c r="C22" i="74"/>
  <c r="B22" i="74"/>
  <c r="A22" i="74"/>
  <c r="D21" i="74"/>
  <c r="C21" i="74"/>
  <c r="B21" i="74"/>
  <c r="A21" i="74"/>
  <c r="D20" i="74"/>
  <c r="C20" i="74"/>
  <c r="B20" i="74"/>
  <c r="A20" i="74"/>
  <c r="D19" i="74"/>
  <c r="C19" i="74"/>
  <c r="B19" i="74"/>
  <c r="A19" i="74"/>
  <c r="D18" i="74"/>
  <c r="C18" i="74"/>
  <c r="B18" i="74"/>
  <c r="A18" i="74"/>
  <c r="D17" i="74"/>
  <c r="C17" i="74"/>
  <c r="B17" i="74"/>
  <c r="D16" i="74"/>
  <c r="C16" i="74"/>
  <c r="B16" i="74"/>
  <c r="A16" i="74"/>
  <c r="D15" i="74"/>
  <c r="C15" i="74"/>
  <c r="B15" i="74"/>
  <c r="D14" i="74"/>
  <c r="C14" i="74"/>
  <c r="B14" i="74"/>
  <c r="A14" i="74"/>
  <c r="D13" i="74"/>
  <c r="C13" i="74"/>
  <c r="B13" i="74"/>
  <c r="A13" i="74"/>
  <c r="D12" i="74"/>
  <c r="C12" i="74"/>
  <c r="B12" i="74"/>
  <c r="A12" i="74"/>
  <c r="D11" i="74"/>
  <c r="C11" i="74"/>
  <c r="B11" i="74"/>
  <c r="A11" i="74"/>
  <c r="D10" i="74"/>
  <c r="C10" i="74"/>
  <c r="B10" i="74"/>
  <c r="A10" i="74"/>
  <c r="D9" i="74"/>
  <c r="C9" i="74"/>
  <c r="B9" i="74"/>
  <c r="A9" i="74"/>
  <c r="D8" i="74"/>
  <c r="C8" i="74"/>
  <c r="B8" i="74"/>
  <c r="A8" i="74"/>
  <c r="D7" i="74"/>
  <c r="C7" i="74"/>
  <c r="B7" i="74"/>
  <c r="A7" i="74"/>
  <c r="D6" i="74"/>
  <c r="C6" i="74"/>
  <c r="B6" i="74"/>
  <c r="A6" i="74"/>
  <c r="D48" i="73"/>
  <c r="C48" i="73"/>
  <c r="B48" i="73"/>
  <c r="A48" i="73"/>
  <c r="D47" i="73"/>
  <c r="C47" i="73"/>
  <c r="B47" i="73"/>
  <c r="A47" i="73"/>
  <c r="D46" i="73"/>
  <c r="C46" i="73"/>
  <c r="B46" i="73"/>
  <c r="A46" i="73"/>
  <c r="D42" i="73"/>
  <c r="C42" i="73"/>
  <c r="B42" i="73"/>
  <c r="A42" i="73"/>
  <c r="D41" i="73"/>
  <c r="C41" i="73"/>
  <c r="B41" i="73"/>
  <c r="A41" i="73"/>
  <c r="D40" i="73"/>
  <c r="C40" i="73"/>
  <c r="B40" i="73"/>
  <c r="A40" i="73"/>
  <c r="D39" i="73"/>
  <c r="C39" i="73"/>
  <c r="B39" i="73"/>
  <c r="A39" i="73"/>
  <c r="D38" i="73"/>
  <c r="C38" i="73"/>
  <c r="B38" i="73"/>
  <c r="A38" i="73"/>
  <c r="D37" i="73"/>
  <c r="C37" i="73"/>
  <c r="B37" i="73"/>
  <c r="A37" i="73"/>
  <c r="D36" i="73"/>
  <c r="C36" i="73"/>
  <c r="B36" i="73"/>
  <c r="A36" i="73"/>
  <c r="D35" i="73"/>
  <c r="C35" i="73"/>
  <c r="B35" i="73"/>
  <c r="A35" i="73"/>
  <c r="D34" i="73"/>
  <c r="C34" i="73"/>
  <c r="B34" i="73"/>
  <c r="A34" i="73"/>
  <c r="D33" i="73"/>
  <c r="C33" i="73"/>
  <c r="B33" i="73"/>
  <c r="A33" i="73"/>
  <c r="D32" i="73"/>
  <c r="C32" i="73"/>
  <c r="B32" i="73"/>
  <c r="A32" i="73"/>
  <c r="D31" i="73"/>
  <c r="C31" i="73"/>
  <c r="B31" i="73"/>
  <c r="A31" i="73"/>
  <c r="D30" i="73"/>
  <c r="C30" i="73"/>
  <c r="B30" i="73"/>
  <c r="A30" i="73"/>
  <c r="D29" i="73"/>
  <c r="C29" i="73"/>
  <c r="B29" i="73"/>
  <c r="A29" i="73"/>
  <c r="D28" i="73"/>
  <c r="C28" i="73"/>
  <c r="B28" i="73"/>
  <c r="A28" i="73"/>
  <c r="D27" i="73"/>
  <c r="C27" i="73"/>
  <c r="B27" i="73"/>
  <c r="A27" i="73"/>
  <c r="D26" i="73"/>
  <c r="C26" i="73"/>
  <c r="B26" i="73"/>
  <c r="A26" i="73"/>
  <c r="D25" i="73"/>
  <c r="C25" i="73"/>
  <c r="B25" i="73"/>
  <c r="A25" i="73"/>
  <c r="D24" i="73"/>
  <c r="C24" i="73"/>
  <c r="B24" i="73"/>
  <c r="A24" i="73"/>
  <c r="D23" i="73"/>
  <c r="C23" i="73"/>
  <c r="B23" i="73"/>
  <c r="A23" i="73"/>
  <c r="D22" i="73"/>
  <c r="C22" i="73"/>
  <c r="B22" i="73"/>
  <c r="A22" i="73"/>
  <c r="D21" i="73"/>
  <c r="C21" i="73"/>
  <c r="B21" i="73"/>
  <c r="A21" i="73"/>
  <c r="D20" i="73"/>
  <c r="C20" i="73"/>
  <c r="B20" i="73"/>
  <c r="A20" i="73"/>
  <c r="D19" i="73"/>
  <c r="C19" i="73"/>
  <c r="B19" i="73"/>
  <c r="A19" i="73"/>
  <c r="D18" i="73"/>
  <c r="C18" i="73"/>
  <c r="B18" i="73"/>
  <c r="A18" i="73"/>
  <c r="D17" i="73"/>
  <c r="C17" i="73"/>
  <c r="B17" i="73"/>
  <c r="D16" i="73"/>
  <c r="C16" i="73"/>
  <c r="B16" i="73"/>
  <c r="A16" i="73"/>
  <c r="D15" i="73"/>
  <c r="C15" i="73"/>
  <c r="B15" i="73"/>
  <c r="D14" i="73"/>
  <c r="C14" i="73"/>
  <c r="B14" i="73"/>
  <c r="A14" i="73"/>
  <c r="D13" i="73"/>
  <c r="C13" i="73"/>
  <c r="B13" i="73"/>
  <c r="A13" i="73"/>
  <c r="D12" i="73"/>
  <c r="C12" i="73"/>
  <c r="B12" i="73"/>
  <c r="A12" i="73"/>
  <c r="D11" i="73"/>
  <c r="C11" i="73"/>
  <c r="B11" i="73"/>
  <c r="A11" i="73"/>
  <c r="D10" i="73"/>
  <c r="C10" i="73"/>
  <c r="B10" i="73"/>
  <c r="A10" i="73"/>
  <c r="D9" i="73"/>
  <c r="C9" i="73"/>
  <c r="B9" i="73"/>
  <c r="A9" i="73"/>
  <c r="D8" i="73"/>
  <c r="C8" i="73"/>
  <c r="B8" i="73"/>
  <c r="A8" i="73"/>
  <c r="D7" i="73"/>
  <c r="C7" i="73"/>
  <c r="B7" i="73"/>
  <c r="A7" i="73"/>
  <c r="D6" i="73"/>
  <c r="C6" i="73"/>
  <c r="B6" i="73"/>
  <c r="A6" i="73"/>
  <c r="D48" i="72"/>
  <c r="C48" i="72"/>
  <c r="B48" i="72"/>
  <c r="A48" i="72"/>
  <c r="D47" i="72"/>
  <c r="C47" i="72"/>
  <c r="B47" i="72"/>
  <c r="A47" i="72"/>
  <c r="D46" i="72"/>
  <c r="C46" i="72"/>
  <c r="B46" i="72"/>
  <c r="A46" i="72"/>
  <c r="D45" i="72"/>
  <c r="C45" i="72"/>
  <c r="B45" i="72"/>
  <c r="D42" i="72"/>
  <c r="C42" i="72"/>
  <c r="B42" i="72"/>
  <c r="A42" i="72"/>
  <c r="D41" i="72"/>
  <c r="C41" i="72"/>
  <c r="B41" i="72"/>
  <c r="A41" i="72"/>
  <c r="D40" i="72"/>
  <c r="C40" i="72"/>
  <c r="B40" i="72"/>
  <c r="A40" i="72"/>
  <c r="D39" i="72"/>
  <c r="C39" i="72"/>
  <c r="B39" i="72"/>
  <c r="A39" i="72"/>
  <c r="D38" i="72"/>
  <c r="C38" i="72"/>
  <c r="B38" i="72"/>
  <c r="A38" i="72"/>
  <c r="D37" i="72"/>
  <c r="C37" i="72"/>
  <c r="B37" i="72"/>
  <c r="A37" i="72"/>
  <c r="D36" i="72"/>
  <c r="C36" i="72"/>
  <c r="B36" i="72"/>
  <c r="A36" i="72"/>
  <c r="D35" i="72"/>
  <c r="C35" i="72"/>
  <c r="B35" i="72"/>
  <c r="A35" i="72"/>
  <c r="D34" i="72"/>
  <c r="C34" i="72"/>
  <c r="B34" i="72"/>
  <c r="A34" i="72"/>
  <c r="D33" i="72"/>
  <c r="C33" i="72"/>
  <c r="B33" i="72"/>
  <c r="A33" i="72"/>
  <c r="D32" i="72"/>
  <c r="C32" i="72"/>
  <c r="B32" i="72"/>
  <c r="A32" i="72"/>
  <c r="D31" i="72"/>
  <c r="C31" i="72"/>
  <c r="B31" i="72"/>
  <c r="A31" i="72"/>
  <c r="D30" i="72"/>
  <c r="C30" i="72"/>
  <c r="B30" i="72"/>
  <c r="A30" i="72"/>
  <c r="D29" i="72"/>
  <c r="C29" i="72"/>
  <c r="B29" i="72"/>
  <c r="A29" i="72"/>
  <c r="D28" i="72"/>
  <c r="C28" i="72"/>
  <c r="B28" i="72"/>
  <c r="A28" i="72"/>
  <c r="D27" i="72"/>
  <c r="C27" i="72"/>
  <c r="B27" i="72"/>
  <c r="A27" i="72"/>
  <c r="D26" i="72"/>
  <c r="C26" i="72"/>
  <c r="B26" i="72"/>
  <c r="A26" i="72"/>
  <c r="D25" i="72"/>
  <c r="C25" i="72"/>
  <c r="B25" i="72"/>
  <c r="A25" i="72"/>
  <c r="D24" i="72"/>
  <c r="C24" i="72"/>
  <c r="B24" i="72"/>
  <c r="A24" i="72"/>
  <c r="D23" i="72"/>
  <c r="C23" i="72"/>
  <c r="B23" i="72"/>
  <c r="A23" i="72"/>
  <c r="D22" i="72"/>
  <c r="C22" i="72"/>
  <c r="B22" i="72"/>
  <c r="A22" i="72"/>
  <c r="D21" i="72"/>
  <c r="C21" i="72"/>
  <c r="B21" i="72"/>
  <c r="A21" i="72"/>
  <c r="D20" i="72"/>
  <c r="C20" i="72"/>
  <c r="B20" i="72"/>
  <c r="A20" i="72"/>
  <c r="D19" i="72"/>
  <c r="C19" i="72"/>
  <c r="B19" i="72"/>
  <c r="A19" i="72"/>
  <c r="D18" i="72"/>
  <c r="C18" i="72"/>
  <c r="B18" i="72"/>
  <c r="A18" i="72"/>
  <c r="D17" i="72"/>
  <c r="C17" i="72"/>
  <c r="B17" i="72"/>
  <c r="D16" i="72"/>
  <c r="C16" i="72"/>
  <c r="B16" i="72"/>
  <c r="A16" i="72"/>
  <c r="D15" i="72"/>
  <c r="C15" i="72"/>
  <c r="B15" i="72"/>
  <c r="D14" i="72"/>
  <c r="C14" i="72"/>
  <c r="B14" i="72"/>
  <c r="A14" i="72"/>
  <c r="D13" i="72"/>
  <c r="C13" i="72"/>
  <c r="B13" i="72"/>
  <c r="A13" i="72"/>
  <c r="D12" i="72"/>
  <c r="C12" i="72"/>
  <c r="B12" i="72"/>
  <c r="A12" i="72"/>
  <c r="D11" i="72"/>
  <c r="C11" i="72"/>
  <c r="B11" i="72"/>
  <c r="A11" i="72"/>
  <c r="D10" i="72"/>
  <c r="C10" i="72"/>
  <c r="B10" i="72"/>
  <c r="A10" i="72"/>
  <c r="D9" i="72"/>
  <c r="C9" i="72"/>
  <c r="B9" i="72"/>
  <c r="A9" i="72"/>
  <c r="D8" i="72"/>
  <c r="C8" i="72"/>
  <c r="B8" i="72"/>
  <c r="A8" i="72"/>
  <c r="D7" i="72"/>
  <c r="C7" i="72"/>
  <c r="B7" i="72"/>
  <c r="A7" i="72"/>
  <c r="D6" i="72"/>
  <c r="C6" i="72"/>
  <c r="B6" i="72"/>
  <c r="A6" i="72"/>
  <c r="D48" i="7"/>
  <c r="C48" i="7"/>
  <c r="B48" i="7"/>
  <c r="A48" i="7"/>
  <c r="D47" i="7"/>
  <c r="C47" i="7"/>
  <c r="B47" i="7"/>
  <c r="A47" i="7"/>
  <c r="D46" i="7"/>
  <c r="C46" i="7"/>
  <c r="B46" i="7"/>
  <c r="A46" i="7"/>
  <c r="D45" i="7"/>
  <c r="C45" i="7"/>
  <c r="B45" i="7"/>
  <c r="D42" i="7"/>
  <c r="C42" i="7"/>
  <c r="B42" i="7"/>
  <c r="A42" i="7"/>
  <c r="D41" i="7"/>
  <c r="C41" i="7"/>
  <c r="B41" i="7"/>
  <c r="A41" i="7"/>
  <c r="D40" i="7"/>
  <c r="C40" i="7"/>
  <c r="B40" i="7"/>
  <c r="A40" i="7"/>
  <c r="D39" i="7"/>
  <c r="C39" i="7"/>
  <c r="B39" i="7"/>
  <c r="A39" i="7"/>
  <c r="D38" i="7"/>
  <c r="C38" i="7"/>
  <c r="B38" i="7"/>
  <c r="A38" i="7"/>
  <c r="D37" i="7"/>
  <c r="C37" i="7"/>
  <c r="B37" i="7"/>
  <c r="A37" i="7"/>
  <c r="D36" i="7"/>
  <c r="C36" i="7"/>
  <c r="B36" i="7"/>
  <c r="A36" i="7"/>
  <c r="D35" i="7"/>
  <c r="C35" i="7"/>
  <c r="B35" i="7"/>
  <c r="A35" i="7"/>
  <c r="D34" i="7"/>
  <c r="C34" i="7"/>
  <c r="B34" i="7"/>
  <c r="A34" i="7"/>
  <c r="D33" i="7"/>
  <c r="C33" i="7"/>
  <c r="B33" i="7"/>
  <c r="A33" i="7"/>
  <c r="D32" i="7"/>
  <c r="C32" i="7"/>
  <c r="B32" i="7"/>
  <c r="A32" i="7"/>
  <c r="D31" i="7"/>
  <c r="C31" i="7"/>
  <c r="B31" i="7"/>
  <c r="A31" i="7"/>
  <c r="D30" i="7"/>
  <c r="C30" i="7"/>
  <c r="B30" i="7"/>
  <c r="A30" i="7"/>
  <c r="D29" i="7"/>
  <c r="C29" i="7"/>
  <c r="B29" i="7"/>
  <c r="A29" i="7"/>
  <c r="D28" i="7"/>
  <c r="C28" i="7"/>
  <c r="B28" i="7"/>
  <c r="A28" i="7"/>
  <c r="D27" i="7"/>
  <c r="C27" i="7"/>
  <c r="B27" i="7"/>
  <c r="A27" i="7"/>
  <c r="D26" i="7"/>
  <c r="C26" i="7"/>
  <c r="B26" i="7"/>
  <c r="A26" i="7"/>
  <c r="D25" i="7"/>
  <c r="C25" i="7"/>
  <c r="B25" i="7"/>
  <c r="A25" i="7"/>
  <c r="D24" i="7"/>
  <c r="C24" i="7"/>
  <c r="B24" i="7"/>
  <c r="A24" i="7"/>
  <c r="D23" i="7"/>
  <c r="C23" i="7"/>
  <c r="B23" i="7"/>
  <c r="A23" i="7"/>
  <c r="D22" i="7"/>
  <c r="C22" i="7"/>
  <c r="B22" i="7"/>
  <c r="A22" i="7"/>
  <c r="D21" i="7"/>
  <c r="C21" i="7"/>
  <c r="B21" i="7"/>
  <c r="A21" i="7"/>
  <c r="D20" i="7"/>
  <c r="C20" i="7"/>
  <c r="B20" i="7"/>
  <c r="A20" i="7"/>
  <c r="D19" i="7"/>
  <c r="C19" i="7"/>
  <c r="B19" i="7"/>
  <c r="A19" i="7"/>
  <c r="D18" i="7"/>
  <c r="C18" i="7"/>
  <c r="B18" i="7"/>
  <c r="A18" i="7"/>
  <c r="D17" i="7"/>
  <c r="C17" i="7"/>
  <c r="B17" i="7"/>
  <c r="D16" i="7"/>
  <c r="C16" i="7"/>
  <c r="B16" i="7"/>
  <c r="A16" i="7"/>
  <c r="D15" i="7"/>
  <c r="C15" i="7"/>
  <c r="B15" i="7"/>
  <c r="D14" i="7"/>
  <c r="C14" i="7"/>
  <c r="B14" i="7"/>
  <c r="A14" i="7"/>
  <c r="D13" i="7"/>
  <c r="C13" i="7"/>
  <c r="B13" i="7"/>
  <c r="A13" i="7"/>
  <c r="D12" i="7"/>
  <c r="C12" i="7"/>
  <c r="B12" i="7"/>
  <c r="A12" i="7"/>
  <c r="D11" i="7"/>
  <c r="C11" i="7"/>
  <c r="B11" i="7"/>
  <c r="A11" i="7"/>
  <c r="D10" i="7"/>
  <c r="C10" i="7"/>
  <c r="B10" i="7"/>
  <c r="A10" i="7"/>
  <c r="D9" i="7"/>
  <c r="C9" i="7"/>
  <c r="B9" i="7"/>
  <c r="A9" i="7"/>
  <c r="D8" i="7"/>
  <c r="C8" i="7"/>
  <c r="B8" i="7"/>
  <c r="A8" i="7"/>
  <c r="D7" i="7"/>
  <c r="C7" i="7"/>
  <c r="B7" i="7"/>
  <c r="A7" i="7"/>
  <c r="D6" i="7"/>
  <c r="C6" i="7"/>
  <c r="B6" i="7"/>
  <c r="A6" i="7"/>
  <c r="D48" i="100"/>
  <c r="C48" i="100"/>
  <c r="B48" i="100"/>
  <c r="A48" i="100"/>
  <c r="D47" i="100"/>
  <c r="C47" i="100"/>
  <c r="B47" i="100"/>
  <c r="A47" i="100"/>
  <c r="D46" i="100"/>
  <c r="C46" i="100"/>
  <c r="B46" i="100"/>
  <c r="A46" i="100"/>
  <c r="D45" i="100"/>
  <c r="C45" i="100"/>
  <c r="B45" i="100"/>
  <c r="D42" i="100"/>
  <c r="C42" i="100"/>
  <c r="B42" i="100"/>
  <c r="A42" i="100"/>
  <c r="D41" i="100"/>
  <c r="C41" i="100"/>
  <c r="B41" i="100"/>
  <c r="A41" i="100"/>
  <c r="D40" i="100"/>
  <c r="C40" i="100"/>
  <c r="B40" i="100"/>
  <c r="A40" i="100"/>
  <c r="D39" i="100"/>
  <c r="C39" i="100"/>
  <c r="B39" i="100"/>
  <c r="A39" i="100"/>
  <c r="D38" i="100"/>
  <c r="C38" i="100"/>
  <c r="B38" i="100"/>
  <c r="A38" i="100"/>
  <c r="D37" i="100"/>
  <c r="C37" i="100"/>
  <c r="B37" i="100"/>
  <c r="A37" i="100"/>
  <c r="D36" i="100"/>
  <c r="C36" i="100"/>
  <c r="B36" i="100"/>
  <c r="A36" i="100"/>
  <c r="D35" i="100"/>
  <c r="C35" i="100"/>
  <c r="B35" i="100"/>
  <c r="A35" i="100"/>
  <c r="D34" i="100"/>
  <c r="C34" i="100"/>
  <c r="B34" i="100"/>
  <c r="A34" i="100"/>
  <c r="D33" i="100"/>
  <c r="C33" i="100"/>
  <c r="B33" i="100"/>
  <c r="A33" i="100"/>
  <c r="D32" i="100"/>
  <c r="C32" i="100"/>
  <c r="B32" i="100"/>
  <c r="A32" i="100"/>
  <c r="D31" i="100"/>
  <c r="C31" i="100"/>
  <c r="B31" i="100"/>
  <c r="A31" i="100"/>
  <c r="D30" i="100"/>
  <c r="C30" i="100"/>
  <c r="B30" i="100"/>
  <c r="A30" i="100"/>
  <c r="D29" i="100"/>
  <c r="C29" i="100"/>
  <c r="B29" i="100"/>
  <c r="A29" i="100"/>
  <c r="D28" i="100"/>
  <c r="C28" i="100"/>
  <c r="B28" i="100"/>
  <c r="A28" i="100"/>
  <c r="D27" i="100"/>
  <c r="C27" i="100"/>
  <c r="B27" i="100"/>
  <c r="A27" i="100"/>
  <c r="D26" i="100"/>
  <c r="C26" i="100"/>
  <c r="B26" i="100"/>
  <c r="A26" i="100"/>
  <c r="D25" i="100"/>
  <c r="C25" i="100"/>
  <c r="B25" i="100"/>
  <c r="A25" i="100"/>
  <c r="D24" i="100"/>
  <c r="C24" i="100"/>
  <c r="B24" i="100"/>
  <c r="A24" i="100"/>
  <c r="D23" i="100"/>
  <c r="C23" i="100"/>
  <c r="B23" i="100"/>
  <c r="A23" i="100"/>
  <c r="D22" i="100"/>
  <c r="C22" i="100"/>
  <c r="B22" i="100"/>
  <c r="A22" i="100"/>
  <c r="D21" i="100"/>
  <c r="C21" i="100"/>
  <c r="B21" i="100"/>
  <c r="A21" i="100"/>
  <c r="D20" i="100"/>
  <c r="C20" i="100"/>
  <c r="B20" i="100"/>
  <c r="A20" i="100"/>
  <c r="D19" i="100"/>
  <c r="C19" i="100"/>
  <c r="B19" i="100"/>
  <c r="A19" i="100"/>
  <c r="D18" i="100"/>
  <c r="C18" i="100"/>
  <c r="B18" i="100"/>
  <c r="A18" i="100"/>
  <c r="D17" i="100"/>
  <c r="C17" i="100"/>
  <c r="B17" i="100"/>
  <c r="D16" i="100"/>
  <c r="C16" i="100"/>
  <c r="B16" i="100"/>
  <c r="A16" i="100"/>
  <c r="D15" i="100"/>
  <c r="C15" i="100"/>
  <c r="B15" i="100"/>
  <c r="D14" i="100"/>
  <c r="C14" i="100"/>
  <c r="B14" i="100"/>
  <c r="A14" i="100"/>
  <c r="D13" i="100"/>
  <c r="C13" i="100"/>
  <c r="B13" i="100"/>
  <c r="A13" i="100"/>
  <c r="D12" i="100"/>
  <c r="C12" i="100"/>
  <c r="B12" i="100"/>
  <c r="A12" i="100"/>
  <c r="D11" i="100"/>
  <c r="C11" i="100"/>
  <c r="B11" i="100"/>
  <c r="A11" i="100"/>
  <c r="D10" i="100"/>
  <c r="C10" i="100"/>
  <c r="B10" i="100"/>
  <c r="A10" i="100"/>
  <c r="D9" i="100"/>
  <c r="C9" i="100"/>
  <c r="B9" i="100"/>
  <c r="A9" i="100"/>
  <c r="D8" i="100"/>
  <c r="C8" i="100"/>
  <c r="B8" i="100"/>
  <c r="A8" i="100"/>
  <c r="D7" i="100"/>
  <c r="C7" i="100"/>
  <c r="B7" i="100"/>
  <c r="A7" i="100"/>
  <c r="D6" i="100"/>
  <c r="C6" i="100"/>
  <c r="B6" i="100"/>
  <c r="A6" i="100"/>
  <c r="D48" i="101"/>
  <c r="C48" i="101"/>
  <c r="B48" i="101"/>
  <c r="A48" i="101"/>
  <c r="D47" i="101"/>
  <c r="C47" i="101"/>
  <c r="B47" i="101"/>
  <c r="A47" i="101"/>
  <c r="D46" i="101"/>
  <c r="C46" i="101"/>
  <c r="B46" i="101"/>
  <c r="A46" i="101"/>
  <c r="D45" i="101"/>
  <c r="C45" i="101"/>
  <c r="B45" i="101"/>
  <c r="D42" i="101"/>
  <c r="C42" i="101"/>
  <c r="B42" i="101"/>
  <c r="A42" i="101"/>
  <c r="D41" i="101"/>
  <c r="C41" i="101"/>
  <c r="B41" i="101"/>
  <c r="A41" i="101"/>
  <c r="D40" i="101"/>
  <c r="C40" i="101"/>
  <c r="B40" i="101"/>
  <c r="A40" i="101"/>
  <c r="D39" i="101"/>
  <c r="C39" i="101"/>
  <c r="B39" i="101"/>
  <c r="A39" i="101"/>
  <c r="D38" i="101"/>
  <c r="C38" i="101"/>
  <c r="B38" i="101"/>
  <c r="A38" i="101"/>
  <c r="D37" i="101"/>
  <c r="C37" i="101"/>
  <c r="B37" i="101"/>
  <c r="A37" i="101"/>
  <c r="D36" i="101"/>
  <c r="C36" i="101"/>
  <c r="B36" i="101"/>
  <c r="A36" i="101"/>
  <c r="D35" i="101"/>
  <c r="C35" i="101"/>
  <c r="B35" i="101"/>
  <c r="A35" i="101"/>
  <c r="D34" i="101"/>
  <c r="C34" i="101"/>
  <c r="B34" i="101"/>
  <c r="A34" i="101"/>
  <c r="D33" i="101"/>
  <c r="C33" i="101"/>
  <c r="B33" i="101"/>
  <c r="A33" i="101"/>
  <c r="D32" i="101"/>
  <c r="C32" i="101"/>
  <c r="B32" i="101"/>
  <c r="A32" i="101"/>
  <c r="D31" i="101"/>
  <c r="C31" i="101"/>
  <c r="B31" i="101"/>
  <c r="A31" i="101"/>
  <c r="D30" i="101"/>
  <c r="C30" i="101"/>
  <c r="B30" i="101"/>
  <c r="A30" i="101"/>
  <c r="D29" i="101"/>
  <c r="C29" i="101"/>
  <c r="B29" i="101"/>
  <c r="A29" i="101"/>
  <c r="D28" i="101"/>
  <c r="C28" i="101"/>
  <c r="B28" i="101"/>
  <c r="A28" i="101"/>
  <c r="D27" i="101"/>
  <c r="C27" i="101"/>
  <c r="B27" i="101"/>
  <c r="A27" i="101"/>
  <c r="D26" i="101"/>
  <c r="C26" i="101"/>
  <c r="B26" i="101"/>
  <c r="A26" i="101"/>
  <c r="D25" i="101"/>
  <c r="C25" i="101"/>
  <c r="B25" i="101"/>
  <c r="A25" i="101"/>
  <c r="D24" i="101"/>
  <c r="C24" i="101"/>
  <c r="B24" i="101"/>
  <c r="A24" i="101"/>
  <c r="D23" i="101"/>
  <c r="C23" i="101"/>
  <c r="B23" i="101"/>
  <c r="A23" i="101"/>
  <c r="D22" i="101"/>
  <c r="C22" i="101"/>
  <c r="B22" i="101"/>
  <c r="A22" i="101"/>
  <c r="D21" i="101"/>
  <c r="C21" i="101"/>
  <c r="B21" i="101"/>
  <c r="A21" i="101"/>
  <c r="D20" i="101"/>
  <c r="C20" i="101"/>
  <c r="B20" i="101"/>
  <c r="A20" i="101"/>
  <c r="D19" i="101"/>
  <c r="C19" i="101"/>
  <c r="B19" i="101"/>
  <c r="A19" i="101"/>
  <c r="D18" i="101"/>
  <c r="C18" i="101"/>
  <c r="B18" i="101"/>
  <c r="A18" i="101"/>
  <c r="D17" i="101"/>
  <c r="C17" i="101"/>
  <c r="B17" i="101"/>
  <c r="D16" i="101"/>
  <c r="C16" i="101"/>
  <c r="B16" i="101"/>
  <c r="A16" i="101"/>
  <c r="D15" i="101"/>
  <c r="C15" i="101"/>
  <c r="B15" i="101"/>
  <c r="D14" i="101"/>
  <c r="C14" i="101"/>
  <c r="B14" i="101"/>
  <c r="A14" i="101"/>
  <c r="D13" i="101"/>
  <c r="C13" i="101"/>
  <c r="B13" i="101"/>
  <c r="A13" i="101"/>
  <c r="D12" i="101"/>
  <c r="C12" i="101"/>
  <c r="B12" i="101"/>
  <c r="A12" i="101"/>
  <c r="D11" i="101"/>
  <c r="C11" i="101"/>
  <c r="B11" i="101"/>
  <c r="A11" i="101"/>
  <c r="D10" i="101"/>
  <c r="C10" i="101"/>
  <c r="B10" i="101"/>
  <c r="A10" i="101"/>
  <c r="D9" i="101"/>
  <c r="C9" i="101"/>
  <c r="B9" i="101"/>
  <c r="A9" i="101"/>
  <c r="D8" i="101"/>
  <c r="C8" i="101"/>
  <c r="B8" i="101"/>
  <c r="A8" i="101"/>
  <c r="D7" i="101"/>
  <c r="C7" i="101"/>
  <c r="B7" i="101"/>
  <c r="A7" i="101"/>
  <c r="D6" i="101"/>
  <c r="C6" i="101"/>
  <c r="B6" i="101"/>
  <c r="A6" i="101"/>
  <c r="D48" i="99"/>
  <c r="C48" i="99"/>
  <c r="B48" i="99"/>
  <c r="A48" i="99"/>
  <c r="D47" i="99"/>
  <c r="C47" i="99"/>
  <c r="B47" i="99"/>
  <c r="A47" i="99"/>
  <c r="D46" i="99"/>
  <c r="C46" i="99"/>
  <c r="B46" i="99"/>
  <c r="A46" i="99"/>
  <c r="D45" i="99"/>
  <c r="C45" i="99"/>
  <c r="B45" i="99"/>
  <c r="D42" i="99"/>
  <c r="C42" i="99"/>
  <c r="B42" i="99"/>
  <c r="A42" i="99"/>
  <c r="D41" i="99"/>
  <c r="C41" i="99"/>
  <c r="B41" i="99"/>
  <c r="A41" i="99"/>
  <c r="D40" i="99"/>
  <c r="C40" i="99"/>
  <c r="B40" i="99"/>
  <c r="A40" i="99"/>
  <c r="D39" i="99"/>
  <c r="C39" i="99"/>
  <c r="B39" i="99"/>
  <c r="A39" i="99"/>
  <c r="D38" i="99"/>
  <c r="C38" i="99"/>
  <c r="B38" i="99"/>
  <c r="A38" i="99"/>
  <c r="D37" i="99"/>
  <c r="C37" i="99"/>
  <c r="B37" i="99"/>
  <c r="A37" i="99"/>
  <c r="D36" i="99"/>
  <c r="C36" i="99"/>
  <c r="B36" i="99"/>
  <c r="A36" i="99"/>
  <c r="D35" i="99"/>
  <c r="C35" i="99"/>
  <c r="B35" i="99"/>
  <c r="A35" i="99"/>
  <c r="D34" i="99"/>
  <c r="C34" i="99"/>
  <c r="B34" i="99"/>
  <c r="A34" i="99"/>
  <c r="D33" i="99"/>
  <c r="C33" i="99"/>
  <c r="B33" i="99"/>
  <c r="A33" i="99"/>
  <c r="D32" i="99"/>
  <c r="C32" i="99"/>
  <c r="B32" i="99"/>
  <c r="A32" i="99"/>
  <c r="D31" i="99"/>
  <c r="C31" i="99"/>
  <c r="B31" i="99"/>
  <c r="A31" i="99"/>
  <c r="D30" i="99"/>
  <c r="C30" i="99"/>
  <c r="B30" i="99"/>
  <c r="A30" i="99"/>
  <c r="D29" i="99"/>
  <c r="C29" i="99"/>
  <c r="B29" i="99"/>
  <c r="A29" i="99"/>
  <c r="D28" i="99"/>
  <c r="C28" i="99"/>
  <c r="B28" i="99"/>
  <c r="A28" i="99"/>
  <c r="D27" i="99"/>
  <c r="C27" i="99"/>
  <c r="B27" i="99"/>
  <c r="A27" i="99"/>
  <c r="D26" i="99"/>
  <c r="C26" i="99"/>
  <c r="B26" i="99"/>
  <c r="A26" i="99"/>
  <c r="D25" i="99"/>
  <c r="C25" i="99"/>
  <c r="B25" i="99"/>
  <c r="A25" i="99"/>
  <c r="D24" i="99"/>
  <c r="C24" i="99"/>
  <c r="B24" i="99"/>
  <c r="A24" i="99"/>
  <c r="D23" i="99"/>
  <c r="C23" i="99"/>
  <c r="B23" i="99"/>
  <c r="A23" i="99"/>
  <c r="D22" i="99"/>
  <c r="C22" i="99"/>
  <c r="B22" i="99"/>
  <c r="A22" i="99"/>
  <c r="D21" i="99"/>
  <c r="C21" i="99"/>
  <c r="B21" i="99"/>
  <c r="A21" i="99"/>
  <c r="D20" i="99"/>
  <c r="C20" i="99"/>
  <c r="B20" i="99"/>
  <c r="A20" i="99"/>
  <c r="D19" i="99"/>
  <c r="C19" i="99"/>
  <c r="B19" i="99"/>
  <c r="A19" i="99"/>
  <c r="D18" i="99"/>
  <c r="C18" i="99"/>
  <c r="B18" i="99"/>
  <c r="A18" i="99"/>
  <c r="D17" i="99"/>
  <c r="C17" i="99"/>
  <c r="B17" i="99"/>
  <c r="D16" i="99"/>
  <c r="C16" i="99"/>
  <c r="B16" i="99"/>
  <c r="A16" i="99"/>
  <c r="D15" i="99"/>
  <c r="C15" i="99"/>
  <c r="B15" i="99"/>
  <c r="D14" i="99"/>
  <c r="C14" i="99"/>
  <c r="B14" i="99"/>
  <c r="A14" i="99"/>
  <c r="D13" i="99"/>
  <c r="C13" i="99"/>
  <c r="B13" i="99"/>
  <c r="A13" i="99"/>
  <c r="D12" i="99"/>
  <c r="C12" i="99"/>
  <c r="B12" i="99"/>
  <c r="A12" i="99"/>
  <c r="D11" i="99"/>
  <c r="C11" i="99"/>
  <c r="B11" i="99"/>
  <c r="A11" i="99"/>
  <c r="D10" i="99"/>
  <c r="C10" i="99"/>
  <c r="B10" i="99"/>
  <c r="A10" i="99"/>
  <c r="D9" i="99"/>
  <c r="C9" i="99"/>
  <c r="B9" i="99"/>
  <c r="A9" i="99"/>
  <c r="D8" i="99"/>
  <c r="C8" i="99"/>
  <c r="B8" i="99"/>
  <c r="A8" i="99"/>
  <c r="D7" i="99"/>
  <c r="C7" i="99"/>
  <c r="B7" i="99"/>
  <c r="A7" i="99"/>
  <c r="D6" i="99"/>
  <c r="C6" i="99"/>
  <c r="B6" i="99"/>
  <c r="A6" i="99"/>
  <c r="D48" i="98"/>
  <c r="C48" i="98"/>
  <c r="B48" i="98"/>
  <c r="A48" i="98"/>
  <c r="D47" i="98"/>
  <c r="C47" i="98"/>
  <c r="B47" i="98"/>
  <c r="A47" i="98"/>
  <c r="D46" i="98"/>
  <c r="C46" i="98"/>
  <c r="B46" i="98"/>
  <c r="A46" i="98"/>
  <c r="D45" i="98"/>
  <c r="C45" i="98"/>
  <c r="B45" i="98"/>
  <c r="D42" i="98"/>
  <c r="C42" i="98"/>
  <c r="B42" i="98"/>
  <c r="A42" i="98"/>
  <c r="D41" i="98"/>
  <c r="C41" i="98"/>
  <c r="B41" i="98"/>
  <c r="A41" i="98"/>
  <c r="D40" i="98"/>
  <c r="C40" i="98"/>
  <c r="B40" i="98"/>
  <c r="A40" i="98"/>
  <c r="D39" i="98"/>
  <c r="C39" i="98"/>
  <c r="B39" i="98"/>
  <c r="A39" i="98"/>
  <c r="D38" i="98"/>
  <c r="C38" i="98"/>
  <c r="B38" i="98"/>
  <c r="A38" i="98"/>
  <c r="D37" i="98"/>
  <c r="C37" i="98"/>
  <c r="B37" i="98"/>
  <c r="A37" i="98"/>
  <c r="D36" i="98"/>
  <c r="C36" i="98"/>
  <c r="B36" i="98"/>
  <c r="A36" i="98"/>
  <c r="D35" i="98"/>
  <c r="C35" i="98"/>
  <c r="B35" i="98"/>
  <c r="A35" i="98"/>
  <c r="D34" i="98"/>
  <c r="C34" i="98"/>
  <c r="B34" i="98"/>
  <c r="A34" i="98"/>
  <c r="D33" i="98"/>
  <c r="C33" i="98"/>
  <c r="B33" i="98"/>
  <c r="A33" i="98"/>
  <c r="D32" i="98"/>
  <c r="C32" i="98"/>
  <c r="B32" i="98"/>
  <c r="A32" i="98"/>
  <c r="D31" i="98"/>
  <c r="C31" i="98"/>
  <c r="B31" i="98"/>
  <c r="A31" i="98"/>
  <c r="D30" i="98"/>
  <c r="C30" i="98"/>
  <c r="B30" i="98"/>
  <c r="A30" i="98"/>
  <c r="D29" i="98"/>
  <c r="C29" i="98"/>
  <c r="B29" i="98"/>
  <c r="A29" i="98"/>
  <c r="D28" i="98"/>
  <c r="C28" i="98"/>
  <c r="B28" i="98"/>
  <c r="A28" i="98"/>
  <c r="D27" i="98"/>
  <c r="C27" i="98"/>
  <c r="B27" i="98"/>
  <c r="A27" i="98"/>
  <c r="D26" i="98"/>
  <c r="C26" i="98"/>
  <c r="B26" i="98"/>
  <c r="A26" i="98"/>
  <c r="D25" i="98"/>
  <c r="C25" i="98"/>
  <c r="B25" i="98"/>
  <c r="A25" i="98"/>
  <c r="D24" i="98"/>
  <c r="C24" i="98"/>
  <c r="B24" i="98"/>
  <c r="A24" i="98"/>
  <c r="D23" i="98"/>
  <c r="C23" i="98"/>
  <c r="B23" i="98"/>
  <c r="A23" i="98"/>
  <c r="D22" i="98"/>
  <c r="C22" i="98"/>
  <c r="B22" i="98"/>
  <c r="A22" i="98"/>
  <c r="D21" i="98"/>
  <c r="C21" i="98"/>
  <c r="B21" i="98"/>
  <c r="A21" i="98"/>
  <c r="D20" i="98"/>
  <c r="C20" i="98"/>
  <c r="B20" i="98"/>
  <c r="A20" i="98"/>
  <c r="D19" i="98"/>
  <c r="C19" i="98"/>
  <c r="B19" i="98"/>
  <c r="A19" i="98"/>
  <c r="D18" i="98"/>
  <c r="C18" i="98"/>
  <c r="B18" i="98"/>
  <c r="A18" i="98"/>
  <c r="D17" i="98"/>
  <c r="C17" i="98"/>
  <c r="B17" i="98"/>
  <c r="D16" i="98"/>
  <c r="C16" i="98"/>
  <c r="B16" i="98"/>
  <c r="A16" i="98"/>
  <c r="D15" i="98"/>
  <c r="C15" i="98"/>
  <c r="B15" i="98"/>
  <c r="D14" i="98"/>
  <c r="C14" i="98"/>
  <c r="B14" i="98"/>
  <c r="A14" i="98"/>
  <c r="D13" i="98"/>
  <c r="C13" i="98"/>
  <c r="B13" i="98"/>
  <c r="A13" i="98"/>
  <c r="D12" i="98"/>
  <c r="C12" i="98"/>
  <c r="B12" i="98"/>
  <c r="A12" i="98"/>
  <c r="D11" i="98"/>
  <c r="C11" i="98"/>
  <c r="B11" i="98"/>
  <c r="A11" i="98"/>
  <c r="D10" i="98"/>
  <c r="C10" i="98"/>
  <c r="B10" i="98"/>
  <c r="A10" i="98"/>
  <c r="D9" i="98"/>
  <c r="C9" i="98"/>
  <c r="B9" i="98"/>
  <c r="A9" i="98"/>
  <c r="D8" i="98"/>
  <c r="C8" i="98"/>
  <c r="B8" i="98"/>
  <c r="A8" i="98"/>
  <c r="D7" i="98"/>
  <c r="C7" i="98"/>
  <c r="B7" i="98"/>
  <c r="A7" i="98"/>
  <c r="D6" i="98"/>
  <c r="C6" i="98"/>
  <c r="B6" i="98"/>
  <c r="A6" i="98"/>
  <c r="F8" i="54"/>
  <c r="F9" i="54"/>
  <c r="F11" i="54"/>
  <c r="F12" i="54"/>
  <c r="F13" i="54"/>
  <c r="F15" i="54"/>
  <c r="F17" i="54"/>
  <c r="F18" i="54"/>
  <c r="F19" i="54"/>
  <c r="F20" i="54"/>
  <c r="F22" i="54"/>
  <c r="F23" i="54"/>
  <c r="F24" i="54"/>
  <c r="F25" i="54"/>
  <c r="F26" i="54"/>
  <c r="F27" i="54"/>
  <c r="F28" i="54"/>
  <c r="F29" i="54"/>
  <c r="F30" i="54"/>
  <c r="F31" i="54"/>
  <c r="F32" i="54"/>
  <c r="F5" i="54"/>
  <c r="F35" i="54"/>
  <c r="F36" i="54"/>
  <c r="F37" i="54"/>
  <c r="F38" i="54"/>
  <c r="F39" i="54"/>
  <c r="F44" i="54"/>
  <c r="F45" i="54"/>
  <c r="F46" i="54"/>
  <c r="F47" i="54"/>
  <c r="F48" i="54"/>
  <c r="F49" i="54"/>
  <c r="F50" i="54"/>
  <c r="F52" i="54"/>
  <c r="F53" i="54"/>
  <c r="F54" i="54"/>
  <c r="F56" i="54"/>
  <c r="F57" i="54"/>
  <c r="F58" i="54"/>
  <c r="F59" i="54"/>
  <c r="F60" i="54"/>
  <c r="F61" i="54"/>
  <c r="F62" i="54"/>
  <c r="F63" i="54"/>
  <c r="F64" i="54"/>
  <c r="F65" i="54"/>
  <c r="F66" i="54"/>
  <c r="F67" i="54"/>
  <c r="F68" i="54"/>
  <c r="F72" i="54"/>
  <c r="F73" i="54"/>
  <c r="F74" i="54"/>
  <c r="AG49" i="56" s="1"/>
  <c r="F75" i="54"/>
  <c r="AB11" i="70" s="1"/>
  <c r="B143" i="53" s="1"/>
  <c r="F76" i="54"/>
  <c r="F77" i="54"/>
  <c r="F78" i="54"/>
  <c r="F79" i="54"/>
  <c r="F80" i="54"/>
  <c r="F81" i="54"/>
  <c r="F84" i="54"/>
  <c r="F85" i="54"/>
  <c r="F86" i="54"/>
  <c r="F87" i="54"/>
  <c r="F88" i="54"/>
  <c r="F89" i="54"/>
  <c r="F90" i="54"/>
  <c r="F91" i="54"/>
  <c r="Z40" i="24" s="1"/>
  <c r="F92" i="54"/>
  <c r="F93" i="54"/>
  <c r="F94" i="54"/>
  <c r="F95" i="54"/>
  <c r="F96" i="54"/>
  <c r="F97" i="54"/>
  <c r="F98" i="54"/>
  <c r="AG23" i="56" s="1"/>
  <c r="F82" i="54"/>
  <c r="Z22" i="24" s="1"/>
  <c r="F99" i="54"/>
  <c r="AG37" i="56" s="1"/>
  <c r="F100" i="54"/>
  <c r="F101" i="54"/>
  <c r="F102" i="54"/>
  <c r="F104" i="54"/>
  <c r="F105" i="54"/>
  <c r="F107" i="54"/>
  <c r="AG34" i="56" s="1"/>
  <c r="F108" i="54"/>
  <c r="F109" i="54"/>
  <c r="Z44" i="24" s="1"/>
  <c r="F110" i="54"/>
  <c r="F111" i="54"/>
  <c r="F112" i="54"/>
  <c r="D128" i="54"/>
  <c r="A128" i="54"/>
  <c r="B128" i="54"/>
  <c r="C128" i="54"/>
  <c r="D79" i="54"/>
  <c r="D80" i="54"/>
  <c r="A79" i="54"/>
  <c r="B79" i="54"/>
  <c r="A80" i="54"/>
  <c r="B80" i="54"/>
  <c r="B78" i="54"/>
  <c r="C79" i="54"/>
  <c r="C80" i="54"/>
  <c r="AO4" i="17"/>
  <c r="AP4" i="17"/>
  <c r="AQ4" i="17"/>
  <c r="AR4" i="17"/>
  <c r="AS4" i="17"/>
  <c r="AT4" i="17"/>
  <c r="AU4" i="17"/>
  <c r="AV4" i="17"/>
  <c r="BW19" i="17" s="1"/>
  <c r="AW4" i="17"/>
  <c r="AX4" i="17"/>
  <c r="AY4" i="17"/>
  <c r="AZ4" i="17"/>
  <c r="BA4" i="17"/>
  <c r="BB4" i="17"/>
  <c r="BC4" i="17"/>
  <c r="BD4" i="17"/>
  <c r="BW52" i="17" s="1"/>
  <c r="BE4" i="17"/>
  <c r="BF4" i="17"/>
  <c r="BG4" i="17"/>
  <c r="BH4" i="17"/>
  <c r="BI4" i="17"/>
  <c r="BJ4" i="17"/>
  <c r="BK4" i="17"/>
  <c r="BL4" i="17"/>
  <c r="BM4" i="17"/>
  <c r="BN4" i="17"/>
  <c r="BO4" i="17"/>
  <c r="BP4" i="17"/>
  <c r="BW33" i="17" s="1"/>
  <c r="BQ4" i="17"/>
  <c r="BR4" i="17"/>
  <c r="AN4" i="17"/>
  <c r="BW15" i="17"/>
  <c r="C6" i="17"/>
  <c r="C7" i="17"/>
  <c r="C8" i="17"/>
  <c r="C9" i="17"/>
  <c r="D6" i="17"/>
  <c r="D7" i="17"/>
  <c r="D8" i="17"/>
  <c r="D9" i="17"/>
  <c r="C10" i="17"/>
  <c r="D10" i="17"/>
  <c r="C11" i="17"/>
  <c r="D11" i="17"/>
  <c r="C12" i="17"/>
  <c r="D12" i="17"/>
  <c r="C13" i="17"/>
  <c r="D13" i="17"/>
  <c r="D14" i="17"/>
  <c r="D15" i="17"/>
  <c r="C18" i="17"/>
  <c r="C19" i="17"/>
  <c r="D19" i="17"/>
  <c r="C20" i="17"/>
  <c r="D20" i="17"/>
  <c r="C21" i="17"/>
  <c r="D21" i="17"/>
  <c r="C22" i="17"/>
  <c r="D22" i="17"/>
  <c r="C23" i="17"/>
  <c r="D23" i="17"/>
  <c r="C24" i="17"/>
  <c r="D24" i="17"/>
  <c r="C25" i="17"/>
  <c r="D25" i="17"/>
  <c r="C26" i="17"/>
  <c r="D26" i="17"/>
  <c r="C27" i="17"/>
  <c r="D27" i="17"/>
  <c r="C28" i="17"/>
  <c r="D28" i="17"/>
  <c r="C29" i="17"/>
  <c r="D29" i="17"/>
  <c r="C30" i="17"/>
  <c r="D30" i="17"/>
  <c r="C31" i="17"/>
  <c r="D31" i="17"/>
  <c r="C32" i="17"/>
  <c r="D32" i="17"/>
  <c r="C33" i="17"/>
  <c r="D33" i="17"/>
  <c r="C17" i="17"/>
  <c r="D17" i="17"/>
  <c r="C34" i="17"/>
  <c r="D34" i="17"/>
  <c r="C35" i="17"/>
  <c r="D35" i="17"/>
  <c r="C36" i="17"/>
  <c r="D36" i="17"/>
  <c r="C37" i="17"/>
  <c r="D37" i="17"/>
  <c r="C40" i="17"/>
  <c r="D40" i="17"/>
  <c r="C41" i="17"/>
  <c r="D41" i="17"/>
  <c r="C16" i="17"/>
  <c r="D16" i="17"/>
  <c r="C42" i="17"/>
  <c r="D42" i="17"/>
  <c r="C43" i="17"/>
  <c r="D43" i="17"/>
  <c r="D44" i="17"/>
  <c r="D48" i="17"/>
  <c r="C49" i="17"/>
  <c r="D49" i="17"/>
  <c r="C50" i="17"/>
  <c r="D50" i="17"/>
  <c r="C51" i="17"/>
  <c r="D51" i="17"/>
  <c r="E1133" i="53"/>
  <c r="AC7" i="70"/>
  <c r="AC8" i="70"/>
  <c r="AC10" i="70"/>
  <c r="B114" i="53" s="1"/>
  <c r="AC11" i="70"/>
  <c r="B144" i="53" s="1"/>
  <c r="AC12" i="70"/>
  <c r="B173" i="53" s="1"/>
  <c r="AC13" i="70"/>
  <c r="AC14" i="70"/>
  <c r="AC15" i="70"/>
  <c r="AC16" i="70"/>
  <c r="AC31" i="70"/>
  <c r="AC32" i="70"/>
  <c r="B608" i="53" s="1"/>
  <c r="AC52" i="70"/>
  <c r="F52" i="70"/>
  <c r="G52" i="70" s="1"/>
  <c r="B1169" i="53" s="1"/>
  <c r="AL8" i="25"/>
  <c r="AO8" i="25" s="1"/>
  <c r="AL9" i="25"/>
  <c r="AO9" i="25" s="1"/>
  <c r="AL10" i="25"/>
  <c r="AO10" i="25" s="1"/>
  <c r="AL11" i="25"/>
  <c r="AO11" i="25"/>
  <c r="AL12" i="25"/>
  <c r="AO12" i="25" s="1"/>
  <c r="AL13" i="25"/>
  <c r="AO13" i="25"/>
  <c r="AL14" i="25"/>
  <c r="AO14" i="25"/>
  <c r="AL15" i="25"/>
  <c r="AO15" i="25"/>
  <c r="AL16" i="25"/>
  <c r="AO16" i="25" s="1"/>
  <c r="AL18" i="25"/>
  <c r="AO18" i="25" s="1"/>
  <c r="AL19" i="25"/>
  <c r="AO19" i="25"/>
  <c r="AL20" i="25"/>
  <c r="AO20" i="25"/>
  <c r="AL21" i="25"/>
  <c r="AO21" i="25" s="1"/>
  <c r="AL22" i="25"/>
  <c r="AO22" i="25" s="1"/>
  <c r="AL23" i="25"/>
  <c r="AO23" i="25"/>
  <c r="AL24" i="25"/>
  <c r="AO24" i="25"/>
  <c r="AL25" i="25"/>
  <c r="AO25" i="25" s="1"/>
  <c r="AL26" i="25"/>
  <c r="AO26" i="25" s="1"/>
  <c r="AL27" i="25"/>
  <c r="AO27" i="25" s="1"/>
  <c r="AL28" i="25"/>
  <c r="AO28" i="25" s="1"/>
  <c r="AL29" i="25"/>
  <c r="AO29" i="25" s="1"/>
  <c r="AL30" i="25"/>
  <c r="AO30" i="25"/>
  <c r="AL31" i="25"/>
  <c r="AO31" i="25" s="1"/>
  <c r="AL32" i="25"/>
  <c r="AO32" i="25" s="1"/>
  <c r="AL33" i="25"/>
  <c r="AO33" i="25" s="1"/>
  <c r="AL34" i="25"/>
  <c r="AO34" i="25" s="1"/>
  <c r="AL35" i="25"/>
  <c r="AO35" i="25"/>
  <c r="AL36" i="25"/>
  <c r="AO36" i="25" s="1"/>
  <c r="AL37" i="25"/>
  <c r="AO37" i="25" s="1"/>
  <c r="AL39" i="25"/>
  <c r="AO39" i="25" s="1"/>
  <c r="AL40" i="25"/>
  <c r="AO40" i="25" s="1"/>
  <c r="AL41" i="25"/>
  <c r="AO41" i="25" s="1"/>
  <c r="AL42" i="25"/>
  <c r="AO42" i="25" s="1"/>
  <c r="AL43" i="25"/>
  <c r="AO43" i="25" s="1"/>
  <c r="AL44" i="25"/>
  <c r="AO44" i="25" s="1"/>
  <c r="AL49" i="25"/>
  <c r="AO49" i="25" s="1"/>
  <c r="AL50" i="25"/>
  <c r="AO50" i="25" s="1"/>
  <c r="AL51" i="25"/>
  <c r="AO51" i="25" s="1"/>
  <c r="AL52" i="25"/>
  <c r="AO52" i="25" s="1"/>
  <c r="AL7" i="25"/>
  <c r="AO7" i="25" s="1"/>
  <c r="F15" i="70"/>
  <c r="G15" i="70" s="1"/>
  <c r="L15" i="70"/>
  <c r="AL14" i="17"/>
  <c r="F16" i="70"/>
  <c r="G16" i="70" s="1"/>
  <c r="B2712" i="53" s="1"/>
  <c r="L16" i="70"/>
  <c r="AM15" i="17"/>
  <c r="C6" i="6"/>
  <c r="C53" i="6" s="1"/>
  <c r="C7" i="6"/>
  <c r="C54" i="6" s="1"/>
  <c r="C8" i="6"/>
  <c r="C55" i="6" s="1"/>
  <c r="C9" i="6"/>
  <c r="C56" i="6" s="1"/>
  <c r="D6" i="6"/>
  <c r="D53" i="6" s="1"/>
  <c r="D7" i="6"/>
  <c r="D54" i="6" s="1"/>
  <c r="D8" i="6"/>
  <c r="D55" i="6" s="1"/>
  <c r="D9" i="6"/>
  <c r="D56" i="6" s="1"/>
  <c r="C10" i="6"/>
  <c r="C57" i="6" s="1"/>
  <c r="D10" i="6"/>
  <c r="D57" i="6" s="1"/>
  <c r="C11" i="6"/>
  <c r="C58" i="6" s="1"/>
  <c r="D11" i="6"/>
  <c r="D58" i="6" s="1"/>
  <c r="C12" i="6"/>
  <c r="C59" i="6" s="1"/>
  <c r="D12" i="6"/>
  <c r="D59" i="6" s="1"/>
  <c r="C13" i="6"/>
  <c r="C60" i="6" s="1"/>
  <c r="D13" i="6"/>
  <c r="D60" i="6" s="1"/>
  <c r="C14" i="6"/>
  <c r="C61" i="6" s="1"/>
  <c r="D14" i="6"/>
  <c r="D61" i="6" s="1"/>
  <c r="C15" i="6"/>
  <c r="C62" i="6" s="1"/>
  <c r="D15" i="6"/>
  <c r="D62" i="6" s="1"/>
  <c r="C17" i="6"/>
  <c r="C64" i="6" s="1"/>
  <c r="D17" i="6"/>
  <c r="D64" i="6" s="1"/>
  <c r="C18" i="6"/>
  <c r="C65" i="6" s="1"/>
  <c r="D18" i="6"/>
  <c r="D65" i="6" s="1"/>
  <c r="C19" i="6"/>
  <c r="C66" i="6" s="1"/>
  <c r="D19" i="6"/>
  <c r="D66" i="6" s="1"/>
  <c r="C20" i="6"/>
  <c r="C67" i="6" s="1"/>
  <c r="D20" i="6"/>
  <c r="D67" i="6" s="1"/>
  <c r="C21" i="6"/>
  <c r="C68" i="6" s="1"/>
  <c r="D21" i="6"/>
  <c r="D68" i="6" s="1"/>
  <c r="C22" i="6"/>
  <c r="C69" i="6" s="1"/>
  <c r="D22" i="6"/>
  <c r="D69" i="6" s="1"/>
  <c r="C23" i="6"/>
  <c r="C70" i="6" s="1"/>
  <c r="D23" i="6"/>
  <c r="D70" i="6" s="1"/>
  <c r="C24" i="6"/>
  <c r="C71" i="6" s="1"/>
  <c r="D24" i="6"/>
  <c r="D71" i="6" s="1"/>
  <c r="C25" i="6"/>
  <c r="C72" i="6" s="1"/>
  <c r="D25" i="6"/>
  <c r="D72" i="6" s="1"/>
  <c r="C26" i="6"/>
  <c r="C73" i="6" s="1"/>
  <c r="D26" i="6"/>
  <c r="D73" i="6" s="1"/>
  <c r="C27" i="6"/>
  <c r="C74" i="6" s="1"/>
  <c r="D27" i="6"/>
  <c r="D74" i="6" s="1"/>
  <c r="C28" i="6"/>
  <c r="C75" i="6" s="1"/>
  <c r="D28" i="6"/>
  <c r="D75" i="6" s="1"/>
  <c r="C29" i="6"/>
  <c r="C76" i="6" s="1"/>
  <c r="D29" i="6"/>
  <c r="D76" i="6" s="1"/>
  <c r="C30" i="6"/>
  <c r="C77" i="6" s="1"/>
  <c r="D30" i="6"/>
  <c r="D77" i="6" s="1"/>
  <c r="C31" i="6"/>
  <c r="C78" i="6" s="1"/>
  <c r="D31" i="6"/>
  <c r="D78" i="6" s="1"/>
  <c r="C32" i="6"/>
  <c r="C79" i="6" s="1"/>
  <c r="D32" i="6"/>
  <c r="D79" i="6" s="1"/>
  <c r="C33" i="6"/>
  <c r="C80" i="6" s="1"/>
  <c r="D33" i="6"/>
  <c r="D80" i="6" s="1"/>
  <c r="C34" i="6"/>
  <c r="C81" i="6" s="1"/>
  <c r="D34" i="6"/>
  <c r="D81" i="6" s="1"/>
  <c r="C35" i="6"/>
  <c r="C82" i="6" s="1"/>
  <c r="D35" i="6"/>
  <c r="D82" i="6" s="1"/>
  <c r="C36" i="6"/>
  <c r="C83" i="6" s="1"/>
  <c r="D36" i="6"/>
  <c r="D83" i="6" s="1"/>
  <c r="C37" i="6"/>
  <c r="C84" i="6" s="1"/>
  <c r="D37" i="6"/>
  <c r="D84" i="6" s="1"/>
  <c r="C38" i="6"/>
  <c r="C85" i="6" s="1"/>
  <c r="D38" i="6"/>
  <c r="D85" i="6" s="1"/>
  <c r="BX38" i="17"/>
  <c r="BY38" i="17" s="1"/>
  <c r="AY20" i="102"/>
  <c r="BB1" i="102"/>
  <c r="BA111" i="102" s="1"/>
  <c r="AY93" i="102"/>
  <c r="AY96" i="102"/>
  <c r="AY62" i="102"/>
  <c r="AV4" i="102"/>
  <c r="AW4" i="102"/>
  <c r="AX4" i="102"/>
  <c r="AK14" i="17"/>
  <c r="AJ14" i="17" s="1"/>
  <c r="AM14" i="17"/>
  <c r="AK15" i="17"/>
  <c r="AJ15" i="17" s="1"/>
  <c r="AL15" i="17"/>
  <c r="A8" i="97"/>
  <c r="D48" i="97"/>
  <c r="C48" i="97"/>
  <c r="B48" i="97"/>
  <c r="D47" i="97"/>
  <c r="C47" i="97"/>
  <c r="B47" i="97"/>
  <c r="D46" i="97"/>
  <c r="C46" i="97"/>
  <c r="B46" i="97"/>
  <c r="D45" i="97"/>
  <c r="C45" i="97"/>
  <c r="B45" i="97"/>
  <c r="D43" i="97"/>
  <c r="B43" i="97"/>
  <c r="D41" i="97"/>
  <c r="C41" i="97"/>
  <c r="B41" i="97"/>
  <c r="D40" i="97"/>
  <c r="C40" i="97"/>
  <c r="B40" i="97"/>
  <c r="D16" i="97"/>
  <c r="C16" i="97"/>
  <c r="B16" i="97"/>
  <c r="D39" i="97"/>
  <c r="C39" i="97"/>
  <c r="B39" i="97"/>
  <c r="D38" i="97"/>
  <c r="C38" i="97"/>
  <c r="B38" i="97"/>
  <c r="D37" i="97"/>
  <c r="C37" i="97"/>
  <c r="B37" i="97"/>
  <c r="D36" i="97"/>
  <c r="C36" i="97"/>
  <c r="B36" i="97"/>
  <c r="D35" i="97"/>
  <c r="C35" i="97"/>
  <c r="B35" i="97"/>
  <c r="D34" i="97"/>
  <c r="C34" i="97"/>
  <c r="B34" i="97"/>
  <c r="D33" i="97"/>
  <c r="C33" i="97"/>
  <c r="B33" i="97"/>
  <c r="D32" i="97"/>
  <c r="C32" i="97"/>
  <c r="B32" i="97"/>
  <c r="D31" i="97"/>
  <c r="C31" i="97"/>
  <c r="B31" i="97"/>
  <c r="D30" i="97"/>
  <c r="C30" i="97"/>
  <c r="B30" i="97"/>
  <c r="D29" i="97"/>
  <c r="C29" i="97"/>
  <c r="B29" i="97"/>
  <c r="D28" i="97"/>
  <c r="C28" i="97"/>
  <c r="B28" i="97"/>
  <c r="D27" i="97"/>
  <c r="C27" i="97"/>
  <c r="B27" i="97"/>
  <c r="D26" i="97"/>
  <c r="C26" i="97"/>
  <c r="B26" i="97"/>
  <c r="D25" i="97"/>
  <c r="C25" i="97"/>
  <c r="B25" i="97"/>
  <c r="D24" i="97"/>
  <c r="C24" i="97"/>
  <c r="B24" i="97"/>
  <c r="D23" i="97"/>
  <c r="C23" i="97"/>
  <c r="B23" i="97"/>
  <c r="D22" i="97"/>
  <c r="C22" i="97"/>
  <c r="B22" i="97"/>
  <c r="D21" i="97"/>
  <c r="C21" i="97"/>
  <c r="B21" i="97"/>
  <c r="D20" i="97"/>
  <c r="C20" i="97"/>
  <c r="B20" i="97"/>
  <c r="D19" i="97"/>
  <c r="C19" i="97"/>
  <c r="B19" i="97"/>
  <c r="D18" i="97"/>
  <c r="C18" i="97"/>
  <c r="B18" i="97"/>
  <c r="D17" i="97"/>
  <c r="C17" i="97"/>
  <c r="B17" i="97"/>
  <c r="D15" i="97"/>
  <c r="C15" i="97"/>
  <c r="B15" i="97"/>
  <c r="D14" i="97"/>
  <c r="C14" i="97"/>
  <c r="B14" i="97"/>
  <c r="D13" i="97"/>
  <c r="C13" i="97"/>
  <c r="B13" i="97"/>
  <c r="D12" i="97"/>
  <c r="C12" i="97"/>
  <c r="B12" i="97"/>
  <c r="D11" i="97"/>
  <c r="C11" i="97"/>
  <c r="B11" i="97"/>
  <c r="D10" i="97"/>
  <c r="C10" i="97"/>
  <c r="B10" i="97"/>
  <c r="D9" i="97"/>
  <c r="C9" i="97"/>
  <c r="B9" i="97"/>
  <c r="D8" i="97"/>
  <c r="C8" i="97"/>
  <c r="B8" i="97"/>
  <c r="D7" i="97"/>
  <c r="C7" i="97"/>
  <c r="B7" i="97"/>
  <c r="D6" i="97"/>
  <c r="C6" i="97"/>
  <c r="B6" i="97"/>
  <c r="A8" i="96"/>
  <c r="A9" i="96"/>
  <c r="A10" i="96"/>
  <c r="A11" i="96"/>
  <c r="A12" i="96"/>
  <c r="A13" i="96"/>
  <c r="A19" i="96"/>
  <c r="A20" i="96"/>
  <c r="A21" i="96"/>
  <c r="A22" i="96"/>
  <c r="A23" i="96"/>
  <c r="A24" i="96"/>
  <c r="A25" i="96"/>
  <c r="A26" i="96"/>
  <c r="A27" i="96"/>
  <c r="A28" i="96"/>
  <c r="A29" i="96"/>
  <c r="A30" i="96"/>
  <c r="A31" i="96"/>
  <c r="A32" i="96"/>
  <c r="A33" i="96"/>
  <c r="A34" i="96"/>
  <c r="A35" i="96"/>
  <c r="A36" i="96"/>
  <c r="A37" i="96"/>
  <c r="A38" i="96"/>
  <c r="A39" i="96"/>
  <c r="A40" i="96"/>
  <c r="A41" i="96"/>
  <c r="A48" i="97"/>
  <c r="A47" i="97"/>
  <c r="A46" i="97"/>
  <c r="A43" i="97"/>
  <c r="A41" i="97"/>
  <c r="A40" i="97"/>
  <c r="A16" i="97"/>
  <c r="A39" i="97"/>
  <c r="A38" i="97"/>
  <c r="A37" i="97"/>
  <c r="A36" i="97"/>
  <c r="A35" i="97"/>
  <c r="A34" i="97"/>
  <c r="A33" i="97"/>
  <c r="A32" i="97"/>
  <c r="A31" i="97"/>
  <c r="A30" i="97"/>
  <c r="A29" i="97"/>
  <c r="A28" i="97"/>
  <c r="A27" i="97"/>
  <c r="A26" i="97"/>
  <c r="A25" i="97"/>
  <c r="A24" i="97"/>
  <c r="A23" i="97"/>
  <c r="A22" i="97"/>
  <c r="A21" i="97"/>
  <c r="A20" i="97"/>
  <c r="A19" i="97"/>
  <c r="A18" i="97"/>
  <c r="A14" i="97"/>
  <c r="A13" i="97"/>
  <c r="A12" i="97"/>
  <c r="A11" i="97"/>
  <c r="A10" i="97"/>
  <c r="A9" i="97"/>
  <c r="A7" i="97"/>
  <c r="A6" i="97"/>
  <c r="D48" i="6"/>
  <c r="D95" i="6" s="1"/>
  <c r="C48" i="6"/>
  <c r="C95" i="6" s="1"/>
  <c r="B48" i="6"/>
  <c r="B95" i="6" s="1"/>
  <c r="B14" i="6"/>
  <c r="B61" i="6" s="1"/>
  <c r="B15" i="6"/>
  <c r="B62" i="6" s="1"/>
  <c r="D14" i="96"/>
  <c r="D15" i="96"/>
  <c r="C14" i="96"/>
  <c r="C15" i="96"/>
  <c r="B14" i="96"/>
  <c r="B15" i="96"/>
  <c r="AK51" i="17"/>
  <c r="AJ51" i="17" s="1"/>
  <c r="AL51" i="17"/>
  <c r="AM51" i="17"/>
  <c r="A14" i="17"/>
  <c r="B14" i="17"/>
  <c r="A15" i="17"/>
  <c r="B15" i="17"/>
  <c r="AL41" i="17"/>
  <c r="AL33" i="17"/>
  <c r="B5" i="53"/>
  <c r="B4" i="53"/>
  <c r="E29" i="53" s="1"/>
  <c r="AY78" i="102"/>
  <c r="AS2" i="17"/>
  <c r="AT2" i="17"/>
  <c r="AM16" i="17"/>
  <c r="B122" i="53"/>
  <c r="E147" i="53" s="1"/>
  <c r="B1250" i="53"/>
  <c r="B1241" i="53"/>
  <c r="B1231" i="53"/>
  <c r="B1230" i="53"/>
  <c r="B1229" i="53"/>
  <c r="B1227" i="53"/>
  <c r="B1226" i="53"/>
  <c r="B1225" i="53"/>
  <c r="E1250" i="53" s="1"/>
  <c r="B1221" i="53"/>
  <c r="B1212" i="53"/>
  <c r="B1202" i="53"/>
  <c r="B1201" i="53"/>
  <c r="B1200" i="53"/>
  <c r="B1198" i="53"/>
  <c r="B1197" i="53"/>
  <c r="B1196" i="53"/>
  <c r="E1221" i="53" s="1"/>
  <c r="B1191" i="53"/>
  <c r="B1185" i="53"/>
  <c r="B1172" i="53"/>
  <c r="B1171" i="53"/>
  <c r="B1170" i="53"/>
  <c r="B1168" i="53"/>
  <c r="B1167" i="53"/>
  <c r="B1166" i="53"/>
  <c r="E1191" i="53" s="1"/>
  <c r="B1162" i="53"/>
  <c r="B1156" i="53"/>
  <c r="B1143" i="53"/>
  <c r="B1142" i="53"/>
  <c r="B1141" i="53"/>
  <c r="B1139" i="53"/>
  <c r="B1138" i="53"/>
  <c r="B1137" i="53"/>
  <c r="E1162" i="53" s="1"/>
  <c r="B1133" i="53"/>
  <c r="B1127" i="53"/>
  <c r="B1114" i="53"/>
  <c r="B1113" i="53"/>
  <c r="B1112" i="53"/>
  <c r="B1110" i="53"/>
  <c r="B1104" i="53"/>
  <c r="B1098" i="53"/>
  <c r="B1085" i="53"/>
  <c r="B1084" i="53"/>
  <c r="B1083" i="53"/>
  <c r="B1081" i="53"/>
  <c r="B1080" i="53"/>
  <c r="B1079" i="53"/>
  <c r="E1104" i="53" s="1"/>
  <c r="B1075" i="53"/>
  <c r="B1069" i="53"/>
  <c r="B1056" i="53"/>
  <c r="B1055" i="53"/>
  <c r="B1054" i="53"/>
  <c r="B1052" i="53"/>
  <c r="B1051" i="53"/>
  <c r="B1050" i="53"/>
  <c r="E1075" i="53" s="1"/>
  <c r="B1046" i="53"/>
  <c r="B1040" i="53"/>
  <c r="B1027" i="53"/>
  <c r="B1026" i="53"/>
  <c r="B1025" i="53"/>
  <c r="B1023" i="53"/>
  <c r="B1022" i="53"/>
  <c r="B1021" i="53"/>
  <c r="E1046" i="53" s="1"/>
  <c r="B1017" i="53"/>
  <c r="B1011" i="53"/>
  <c r="B998" i="53"/>
  <c r="B997" i="53"/>
  <c r="B996" i="53"/>
  <c r="B994" i="53"/>
  <c r="B993" i="53"/>
  <c r="B992" i="53"/>
  <c r="E1017" i="53" s="1"/>
  <c r="B988" i="53"/>
  <c r="B982" i="53"/>
  <c r="B969" i="53"/>
  <c r="B968" i="53"/>
  <c r="B967" i="53"/>
  <c r="B965" i="53"/>
  <c r="B964" i="53"/>
  <c r="B963" i="53"/>
  <c r="E988" i="53" s="1"/>
  <c r="B959" i="53"/>
  <c r="B953" i="53"/>
  <c r="B940" i="53"/>
  <c r="B939" i="53"/>
  <c r="B938" i="53"/>
  <c r="B936" i="53"/>
  <c r="B935" i="53"/>
  <c r="B934" i="53"/>
  <c r="E959" i="53" s="1"/>
  <c r="B930" i="53"/>
  <c r="B924" i="53"/>
  <c r="B911" i="53"/>
  <c r="B910" i="53"/>
  <c r="B909" i="53"/>
  <c r="B907" i="53"/>
  <c r="B906" i="53"/>
  <c r="B905" i="53"/>
  <c r="E930" i="53" s="1"/>
  <c r="B901" i="53"/>
  <c r="B895" i="53"/>
  <c r="B882" i="53"/>
  <c r="B881" i="53"/>
  <c r="B880" i="53"/>
  <c r="B878" i="53"/>
  <c r="B877" i="53"/>
  <c r="B876" i="53"/>
  <c r="E901" i="53" s="1"/>
  <c r="B872" i="53"/>
  <c r="B866" i="53"/>
  <c r="B853" i="53"/>
  <c r="B852" i="53"/>
  <c r="B851" i="53"/>
  <c r="B849" i="53"/>
  <c r="B848" i="53"/>
  <c r="B847" i="53"/>
  <c r="E872" i="53" s="1"/>
  <c r="B843" i="53"/>
  <c r="B837" i="53"/>
  <c r="B824" i="53"/>
  <c r="B823" i="53"/>
  <c r="B822" i="53"/>
  <c r="B820" i="53"/>
  <c r="B819" i="53"/>
  <c r="B818" i="53"/>
  <c r="E843" i="53" s="1"/>
  <c r="B814" i="53"/>
  <c r="B808" i="53"/>
  <c r="B795" i="53"/>
  <c r="B794" i="53"/>
  <c r="B793" i="53"/>
  <c r="B791" i="53"/>
  <c r="B790" i="53"/>
  <c r="B789" i="53"/>
  <c r="E814" i="53" s="1"/>
  <c r="B785" i="53"/>
  <c r="B779" i="53"/>
  <c r="B766" i="53"/>
  <c r="B765" i="53"/>
  <c r="B764" i="53"/>
  <c r="B762" i="53"/>
  <c r="B761" i="53"/>
  <c r="B760" i="53"/>
  <c r="E785" i="53" s="1"/>
  <c r="B756" i="53"/>
  <c r="B750" i="53"/>
  <c r="B737" i="53"/>
  <c r="B736" i="53"/>
  <c r="B735" i="53"/>
  <c r="B733" i="53"/>
  <c r="B732" i="53"/>
  <c r="B731" i="53"/>
  <c r="E756" i="53" s="1"/>
  <c r="B727" i="53"/>
  <c r="B721" i="53"/>
  <c r="B708" i="53"/>
  <c r="B707" i="53"/>
  <c r="B706" i="53"/>
  <c r="B704" i="53"/>
  <c r="B703" i="53"/>
  <c r="B702" i="53"/>
  <c r="E727" i="53" s="1"/>
  <c r="B698" i="53"/>
  <c r="B692" i="53"/>
  <c r="B679" i="53"/>
  <c r="B678" i="53"/>
  <c r="B677" i="53"/>
  <c r="B675" i="53"/>
  <c r="B674" i="53"/>
  <c r="B673" i="53"/>
  <c r="E698" i="53" s="1"/>
  <c r="B669" i="53"/>
  <c r="B663" i="53"/>
  <c r="B650" i="53"/>
  <c r="B649" i="53"/>
  <c r="B648" i="53"/>
  <c r="B646" i="53"/>
  <c r="B645" i="53"/>
  <c r="B644" i="53"/>
  <c r="E669" i="53" s="1"/>
  <c r="B640" i="53"/>
  <c r="B634" i="53"/>
  <c r="B621" i="53"/>
  <c r="B620" i="53"/>
  <c r="B619" i="53"/>
  <c r="B617" i="53"/>
  <c r="B616" i="53"/>
  <c r="B615" i="53"/>
  <c r="E640" i="53" s="1"/>
  <c r="B611" i="53"/>
  <c r="B605" i="53"/>
  <c r="B592" i="53"/>
  <c r="B591" i="53"/>
  <c r="B590" i="53"/>
  <c r="B588" i="53"/>
  <c r="B587" i="53"/>
  <c r="B586" i="53"/>
  <c r="E611" i="53" s="1"/>
  <c r="B582" i="53"/>
  <c r="B576" i="53"/>
  <c r="B563" i="53"/>
  <c r="B562" i="53"/>
  <c r="B561" i="53"/>
  <c r="B559" i="53"/>
  <c r="B558" i="53"/>
  <c r="B557" i="53"/>
  <c r="E582" i="53" s="1"/>
  <c r="B553" i="53"/>
  <c r="B547" i="53"/>
  <c r="B534" i="53"/>
  <c r="B533" i="53"/>
  <c r="B532" i="53"/>
  <c r="B530" i="53"/>
  <c r="B529" i="53"/>
  <c r="B528" i="53"/>
  <c r="E553" i="53" s="1"/>
  <c r="B524" i="53"/>
  <c r="B518" i="53"/>
  <c r="B505" i="53"/>
  <c r="B504" i="53"/>
  <c r="B503" i="53"/>
  <c r="B501" i="53"/>
  <c r="B500" i="53"/>
  <c r="B499" i="53"/>
  <c r="E524" i="53" s="1"/>
  <c r="B495" i="53"/>
  <c r="B489" i="53"/>
  <c r="B476" i="53"/>
  <c r="B475" i="53"/>
  <c r="B474" i="53"/>
  <c r="B472" i="53"/>
  <c r="B471" i="53"/>
  <c r="B470" i="53"/>
  <c r="E495" i="53" s="1"/>
  <c r="B466" i="53"/>
  <c r="B460" i="53"/>
  <c r="B447" i="53"/>
  <c r="B446" i="53"/>
  <c r="B445" i="53"/>
  <c r="B443" i="53"/>
  <c r="B442" i="53"/>
  <c r="B441" i="53"/>
  <c r="E466" i="53" s="1"/>
  <c r="B437" i="53"/>
  <c r="B431" i="53"/>
  <c r="B418" i="53"/>
  <c r="B417" i="53"/>
  <c r="B416" i="53"/>
  <c r="B414" i="53"/>
  <c r="B413" i="53"/>
  <c r="B412" i="53"/>
  <c r="E437" i="53" s="1"/>
  <c r="B408" i="53"/>
  <c r="B402" i="53"/>
  <c r="B389" i="53"/>
  <c r="B388" i="53"/>
  <c r="B387" i="53"/>
  <c r="B385" i="53"/>
  <c r="B384" i="53"/>
  <c r="B383" i="53"/>
  <c r="E408" i="53" s="1"/>
  <c r="B379" i="53"/>
  <c r="B373" i="53"/>
  <c r="B360" i="53"/>
  <c r="B359" i="53"/>
  <c r="B358" i="53"/>
  <c r="B356" i="53"/>
  <c r="B355" i="53"/>
  <c r="B354" i="53"/>
  <c r="E379" i="53" s="1"/>
  <c r="B350" i="53"/>
  <c r="B344" i="53"/>
  <c r="B331" i="53"/>
  <c r="B330" i="53"/>
  <c r="B329" i="53"/>
  <c r="B327" i="53"/>
  <c r="B326" i="53"/>
  <c r="B325" i="53"/>
  <c r="E350" i="53" s="1"/>
  <c r="B321" i="53"/>
  <c r="B315" i="53"/>
  <c r="B302" i="53"/>
  <c r="B301" i="53"/>
  <c r="B300" i="53"/>
  <c r="B298" i="53"/>
  <c r="B297" i="53"/>
  <c r="B296" i="53"/>
  <c r="E321" i="53" s="1"/>
  <c r="B292" i="53"/>
  <c r="B286" i="53"/>
  <c r="B273" i="53"/>
  <c r="B272" i="53"/>
  <c r="B271" i="53"/>
  <c r="B269" i="53"/>
  <c r="B268" i="53"/>
  <c r="B267" i="53"/>
  <c r="E292" i="53" s="1"/>
  <c r="B263" i="53"/>
  <c r="B257" i="53"/>
  <c r="B244" i="53"/>
  <c r="B243" i="53"/>
  <c r="B242" i="53"/>
  <c r="B240" i="53"/>
  <c r="B239" i="53"/>
  <c r="B238" i="53"/>
  <c r="E263" i="53" s="1"/>
  <c r="B234" i="53"/>
  <c r="B228" i="53"/>
  <c r="B215" i="53"/>
  <c r="B214" i="53"/>
  <c r="B213" i="53"/>
  <c r="B211" i="53"/>
  <c r="B210" i="53"/>
  <c r="B209" i="53"/>
  <c r="E234" i="53" s="1"/>
  <c r="B205" i="53"/>
  <c r="B199" i="53"/>
  <c r="B186" i="53"/>
  <c r="B185" i="53"/>
  <c r="B184" i="53"/>
  <c r="B182" i="53"/>
  <c r="B181" i="53"/>
  <c r="B180" i="53"/>
  <c r="E205" i="53" s="1"/>
  <c r="B176" i="53"/>
  <c r="B170" i="53"/>
  <c r="B157" i="53"/>
  <c r="B156" i="53"/>
  <c r="B155" i="53"/>
  <c r="B153" i="53"/>
  <c r="B152" i="53"/>
  <c r="B151" i="53"/>
  <c r="E176" i="53" s="1"/>
  <c r="B147" i="53"/>
  <c r="B141" i="53"/>
  <c r="B128" i="53"/>
  <c r="B127" i="53"/>
  <c r="B126" i="53"/>
  <c r="B124" i="53"/>
  <c r="B123" i="53"/>
  <c r="B117" i="53"/>
  <c r="B111" i="53"/>
  <c r="B98" i="53"/>
  <c r="B97" i="53"/>
  <c r="B96" i="53"/>
  <c r="B94" i="53"/>
  <c r="E117" i="53"/>
  <c r="B87" i="53"/>
  <c r="B81" i="53"/>
  <c r="B68" i="53"/>
  <c r="B67" i="53"/>
  <c r="B66" i="53"/>
  <c r="B64" i="53"/>
  <c r="B63" i="53"/>
  <c r="B62" i="53"/>
  <c r="E87" i="53" s="1"/>
  <c r="B58" i="53"/>
  <c r="B52" i="53"/>
  <c r="B39" i="53"/>
  <c r="B38" i="53"/>
  <c r="B37" i="53"/>
  <c r="B35" i="53"/>
  <c r="B34" i="53"/>
  <c r="B33" i="53"/>
  <c r="E58" i="53" s="1"/>
  <c r="AL16" i="17"/>
  <c r="AM6" i="17"/>
  <c r="AC40" i="70"/>
  <c r="BX47" i="17"/>
  <c r="AC42" i="70"/>
  <c r="B898" i="53" s="1"/>
  <c r="AY15" i="102"/>
  <c r="AY17" i="102"/>
  <c r="AY16" i="102"/>
  <c r="AY92" i="102"/>
  <c r="AY35" i="102"/>
  <c r="AY66" i="102"/>
  <c r="AY68" i="102"/>
  <c r="AY41" i="102"/>
  <c r="AY33" i="102"/>
  <c r="AW28" i="102"/>
  <c r="AY28" i="102"/>
  <c r="AY95" i="102"/>
  <c r="AY37" i="102"/>
  <c r="AY38" i="102"/>
  <c r="AY23" i="102"/>
  <c r="AY55" i="102"/>
  <c r="AY46" i="102"/>
  <c r="AY51" i="102"/>
  <c r="AY77" i="102"/>
  <c r="AY71" i="102"/>
  <c r="AY54" i="102"/>
  <c r="AY81" i="102"/>
  <c r="AY39" i="102"/>
  <c r="AY94" i="102"/>
  <c r="AY27" i="102"/>
  <c r="AY58" i="102"/>
  <c r="AK28" i="17"/>
  <c r="AJ28" i="17" s="1"/>
  <c r="AL17" i="17"/>
  <c r="B44" i="17"/>
  <c r="A109" i="54"/>
  <c r="A81" i="54"/>
  <c r="A110" i="54"/>
  <c r="A111" i="54"/>
  <c r="A112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82" i="54"/>
  <c r="A99" i="54"/>
  <c r="A100" i="54"/>
  <c r="A101" i="54"/>
  <c r="A102" i="54"/>
  <c r="A74" i="54"/>
  <c r="A75" i="54"/>
  <c r="A76" i="54"/>
  <c r="A77" i="54"/>
  <c r="A78" i="54"/>
  <c r="BW44" i="17"/>
  <c r="C112" i="54"/>
  <c r="AC45" i="70"/>
  <c r="B84" i="53" s="1"/>
  <c r="F45" i="70"/>
  <c r="G45" i="70" s="1"/>
  <c r="D42" i="6"/>
  <c r="D89" i="6" s="1"/>
  <c r="C42" i="6"/>
  <c r="C89" i="6" s="1"/>
  <c r="D41" i="6"/>
  <c r="D88" i="6" s="1"/>
  <c r="B42" i="6"/>
  <c r="B89" i="6" s="1"/>
  <c r="AK34" i="17"/>
  <c r="AJ34" i="17" s="1"/>
  <c r="AK24" i="17"/>
  <c r="AJ24" i="17" s="1"/>
  <c r="AK19" i="17"/>
  <c r="AJ19" i="17" s="1"/>
  <c r="AY98" i="102"/>
  <c r="AY21" i="102"/>
  <c r="AY49" i="102"/>
  <c r="AY34" i="102"/>
  <c r="AY74" i="102"/>
  <c r="AY86" i="102"/>
  <c r="AY80" i="102"/>
  <c r="AY13" i="102"/>
  <c r="AY47" i="102"/>
  <c r="AY87" i="102"/>
  <c r="AY90" i="102"/>
  <c r="AY53" i="102"/>
  <c r="AY43" i="102"/>
  <c r="AY56" i="102"/>
  <c r="AY79" i="102"/>
  <c r="AY50" i="102"/>
  <c r="AY63" i="102"/>
  <c r="AY18" i="102"/>
  <c r="AY22" i="102"/>
  <c r="AW22" i="102"/>
  <c r="F128" i="54"/>
  <c r="Z18" i="24" s="1"/>
  <c r="AG29" i="56"/>
  <c r="AG38" i="56"/>
  <c r="D112" i="54"/>
  <c r="B112" i="54"/>
  <c r="F126" i="54"/>
  <c r="Z37" i="24" s="1"/>
  <c r="F127" i="54"/>
  <c r="AG59" i="56" s="1"/>
  <c r="F125" i="54"/>
  <c r="AY8" i="102"/>
  <c r="AY14" i="102"/>
  <c r="AY24" i="102"/>
  <c r="AY29" i="102"/>
  <c r="AY59" i="102"/>
  <c r="AK6" i="17"/>
  <c r="AJ6" i="17" s="1"/>
  <c r="AY60" i="102"/>
  <c r="AY72" i="102"/>
  <c r="AY73" i="102"/>
  <c r="D40" i="6"/>
  <c r="D87" i="6" s="1"/>
  <c r="AK36" i="17"/>
  <c r="AJ36" i="17" s="1"/>
  <c r="B2173" i="53"/>
  <c r="B2172" i="53"/>
  <c r="E2197" i="53" s="1"/>
  <c r="B2144" i="53"/>
  <c r="B2143" i="53"/>
  <c r="E2168" i="53" s="1"/>
  <c r="B2115" i="53"/>
  <c r="B2114" i="53"/>
  <c r="E2139" i="53" s="1"/>
  <c r="AC43" i="70"/>
  <c r="AC49" i="70"/>
  <c r="AC44" i="70"/>
  <c r="B110" i="54"/>
  <c r="C110" i="54"/>
  <c r="AB43" i="70" s="1"/>
  <c r="D110" i="54"/>
  <c r="B111" i="54"/>
  <c r="C111" i="54"/>
  <c r="D111" i="54"/>
  <c r="F43" i="70"/>
  <c r="G43" i="70" s="1"/>
  <c r="B937" i="53" s="1"/>
  <c r="F44" i="70"/>
  <c r="G44" i="70" s="1"/>
  <c r="B40" i="96"/>
  <c r="C40" i="96"/>
  <c r="D40" i="96"/>
  <c r="B41" i="96"/>
  <c r="D41" i="96"/>
  <c r="C40" i="6"/>
  <c r="C87" i="6" s="1"/>
  <c r="C41" i="6"/>
  <c r="C88" i="6" s="1"/>
  <c r="A40" i="6"/>
  <c r="A87" i="6" s="1"/>
  <c r="A41" i="6"/>
  <c r="A88" i="6" s="1"/>
  <c r="B40" i="6"/>
  <c r="B87" i="6" s="1"/>
  <c r="B41" i="6"/>
  <c r="B88" i="6" s="1"/>
  <c r="AK42" i="17"/>
  <c r="AJ42" i="17" s="1"/>
  <c r="AM42" i="17"/>
  <c r="AL42" i="17"/>
  <c r="AK43" i="17"/>
  <c r="AJ43" i="17" s="1"/>
  <c r="AL43" i="17"/>
  <c r="AM43" i="17"/>
  <c r="B42" i="17"/>
  <c r="B43" i="17"/>
  <c r="AY5" i="102"/>
  <c r="AW5" i="102"/>
  <c r="D93" i="54"/>
  <c r="D94" i="54"/>
  <c r="D95" i="54"/>
  <c r="B1135" i="53"/>
  <c r="A108" i="54"/>
  <c r="B108" i="54"/>
  <c r="B109" i="54"/>
  <c r="B81" i="54"/>
  <c r="B107" i="54"/>
  <c r="D101" i="54"/>
  <c r="D102" i="54"/>
  <c r="C101" i="54"/>
  <c r="C102" i="54"/>
  <c r="B101" i="54"/>
  <c r="B102" i="54"/>
  <c r="C85" i="54"/>
  <c r="AB21" i="70" s="1"/>
  <c r="C86" i="54"/>
  <c r="AB22" i="70" s="1"/>
  <c r="B317" i="53" s="1"/>
  <c r="C87" i="54"/>
  <c r="C88" i="54"/>
  <c r="AB24" i="70" s="1"/>
  <c r="B375" i="53" s="1"/>
  <c r="C89" i="54"/>
  <c r="AB25" i="70" s="1"/>
  <c r="B404" i="53" s="1"/>
  <c r="C90" i="54"/>
  <c r="AB26" i="70" s="1"/>
  <c r="B433" i="53" s="1"/>
  <c r="C91" i="54"/>
  <c r="C92" i="54"/>
  <c r="AB28" i="70" s="1"/>
  <c r="B491" i="53" s="1"/>
  <c r="C93" i="54"/>
  <c r="AB29" i="70" s="1"/>
  <c r="C94" i="54"/>
  <c r="AB30" i="70" s="1"/>
  <c r="B1365" i="53" s="1"/>
  <c r="C95" i="54"/>
  <c r="C96" i="54"/>
  <c r="C97" i="54"/>
  <c r="AB33" i="70" s="1"/>
  <c r="B1515" i="53" s="1"/>
  <c r="C98" i="54"/>
  <c r="C82" i="54"/>
  <c r="C99" i="54"/>
  <c r="C100" i="54"/>
  <c r="AB36" i="70" s="1"/>
  <c r="B752" i="53" s="1"/>
  <c r="B85" i="54"/>
  <c r="B86" i="54"/>
  <c r="B87" i="54"/>
  <c r="B88" i="54"/>
  <c r="B89" i="54"/>
  <c r="B90" i="54"/>
  <c r="B91" i="54"/>
  <c r="B92" i="54"/>
  <c r="B93" i="54"/>
  <c r="B94" i="54"/>
  <c r="B95" i="54"/>
  <c r="B96" i="54"/>
  <c r="B97" i="54"/>
  <c r="B98" i="54"/>
  <c r="B82" i="54"/>
  <c r="B99" i="54"/>
  <c r="B100" i="54"/>
  <c r="B84" i="54"/>
  <c r="D75" i="54"/>
  <c r="D76" i="54"/>
  <c r="D77" i="54"/>
  <c r="D78" i="54"/>
  <c r="C75" i="54"/>
  <c r="C76" i="54"/>
  <c r="C77" i="54"/>
  <c r="C78" i="54"/>
  <c r="AL50" i="17"/>
  <c r="AC37" i="70"/>
  <c r="B782" i="53" s="1"/>
  <c r="AC38" i="70"/>
  <c r="B1874" i="53" s="1"/>
  <c r="AC41" i="70"/>
  <c r="B869" i="53" s="1"/>
  <c r="B202" i="53"/>
  <c r="B231" i="53"/>
  <c r="AW8" i="102"/>
  <c r="AY32" i="102"/>
  <c r="AY97" i="102"/>
  <c r="AL36" i="17"/>
  <c r="AM36" i="17"/>
  <c r="AK37" i="17"/>
  <c r="AJ37" i="17" s="1"/>
  <c r="AJ37" i="25" s="1"/>
  <c r="AM37" i="25" s="1"/>
  <c r="AL37" i="17"/>
  <c r="AM37" i="17"/>
  <c r="AK10" i="17"/>
  <c r="AJ10" i="17" s="1"/>
  <c r="AL10" i="17"/>
  <c r="AM10" i="17"/>
  <c r="AK11" i="17"/>
  <c r="AJ11" i="17" s="1"/>
  <c r="AL11" i="17"/>
  <c r="AM11" i="17"/>
  <c r="AK12" i="17"/>
  <c r="AJ12" i="17" s="1"/>
  <c r="AL12" i="17"/>
  <c r="AM12" i="17"/>
  <c r="AK13" i="17"/>
  <c r="AJ13" i="17" s="1"/>
  <c r="AL13" i="17"/>
  <c r="AM13" i="17"/>
  <c r="D16" i="96"/>
  <c r="C16" i="96"/>
  <c r="B16" i="96"/>
  <c r="D39" i="96"/>
  <c r="C39" i="96"/>
  <c r="B39" i="96"/>
  <c r="D38" i="96"/>
  <c r="C38" i="96"/>
  <c r="B38" i="96"/>
  <c r="D37" i="96"/>
  <c r="C37" i="96"/>
  <c r="B37" i="96"/>
  <c r="D36" i="96"/>
  <c r="C36" i="96"/>
  <c r="B36" i="96"/>
  <c r="D35" i="96"/>
  <c r="C35" i="96"/>
  <c r="B35" i="96"/>
  <c r="D34" i="96"/>
  <c r="C34" i="96"/>
  <c r="B34" i="96"/>
  <c r="D33" i="96"/>
  <c r="C33" i="96"/>
  <c r="B33" i="96"/>
  <c r="D32" i="96"/>
  <c r="C32" i="96"/>
  <c r="B32" i="96"/>
  <c r="D31" i="96"/>
  <c r="C31" i="96"/>
  <c r="B31" i="96"/>
  <c r="D30" i="96"/>
  <c r="C30" i="96"/>
  <c r="B30" i="96"/>
  <c r="D29" i="96"/>
  <c r="C29" i="96"/>
  <c r="B29" i="96"/>
  <c r="D28" i="96"/>
  <c r="C28" i="96"/>
  <c r="B28" i="96"/>
  <c r="D27" i="96"/>
  <c r="C27" i="96"/>
  <c r="B27" i="96"/>
  <c r="D26" i="96"/>
  <c r="C26" i="96"/>
  <c r="B26" i="96"/>
  <c r="D25" i="96"/>
  <c r="C25" i="96"/>
  <c r="B25" i="96"/>
  <c r="D24" i="96"/>
  <c r="C24" i="96"/>
  <c r="B24" i="96"/>
  <c r="D23" i="96"/>
  <c r="C23" i="96"/>
  <c r="B23" i="96"/>
  <c r="D22" i="96"/>
  <c r="C22" i="96"/>
  <c r="B22" i="96"/>
  <c r="D21" i="96"/>
  <c r="C21" i="96"/>
  <c r="B21" i="96"/>
  <c r="D20" i="96"/>
  <c r="C20" i="96"/>
  <c r="B20" i="96"/>
  <c r="D19" i="96"/>
  <c r="C19" i="96"/>
  <c r="B19" i="96"/>
  <c r="D18" i="96"/>
  <c r="C18" i="96"/>
  <c r="B18" i="96"/>
  <c r="D17" i="96"/>
  <c r="C17" i="96"/>
  <c r="B17" i="96"/>
  <c r="D13" i="96"/>
  <c r="C13" i="96"/>
  <c r="B13" i="96"/>
  <c r="D12" i="96"/>
  <c r="C12" i="96"/>
  <c r="B12" i="96"/>
  <c r="D11" i="96"/>
  <c r="C11" i="96"/>
  <c r="B11" i="96"/>
  <c r="D10" i="96"/>
  <c r="C10" i="96"/>
  <c r="B10" i="96"/>
  <c r="D9" i="96"/>
  <c r="C9" i="96"/>
  <c r="B9" i="96"/>
  <c r="D8" i="96"/>
  <c r="C8" i="96"/>
  <c r="B8" i="96"/>
  <c r="D7" i="96"/>
  <c r="C7" i="96"/>
  <c r="B7" i="96"/>
  <c r="A7" i="96"/>
  <c r="D6" i="96"/>
  <c r="C6" i="96"/>
  <c r="B6" i="96"/>
  <c r="A6" i="96"/>
  <c r="A46" i="6"/>
  <c r="A93" i="6" s="1"/>
  <c r="A47" i="6"/>
  <c r="A94" i="6" s="1"/>
  <c r="A45" i="6"/>
  <c r="A92" i="6" s="1"/>
  <c r="A38" i="6"/>
  <c r="A85" i="6" s="1"/>
  <c r="A39" i="6"/>
  <c r="A86" i="6" s="1"/>
  <c r="A16" i="6"/>
  <c r="A63" i="6" s="1"/>
  <c r="A37" i="6"/>
  <c r="A84" i="6" s="1"/>
  <c r="A33" i="6"/>
  <c r="A80" i="6" s="1"/>
  <c r="A34" i="6"/>
  <c r="A81" i="6" s="1"/>
  <c r="A35" i="6"/>
  <c r="A82" i="6" s="1"/>
  <c r="A36" i="6"/>
  <c r="A83" i="6" s="1"/>
  <c r="A18" i="6"/>
  <c r="A65" i="6" s="1"/>
  <c r="A19" i="6"/>
  <c r="A66" i="6" s="1"/>
  <c r="A20" i="6"/>
  <c r="A67" i="6" s="1"/>
  <c r="A21" i="6"/>
  <c r="A68" i="6" s="1"/>
  <c r="A22" i="6"/>
  <c r="A69" i="6" s="1"/>
  <c r="A23" i="6"/>
  <c r="A70" i="6" s="1"/>
  <c r="A24" i="6"/>
  <c r="A71" i="6" s="1"/>
  <c r="A25" i="6"/>
  <c r="A72" i="6" s="1"/>
  <c r="A26" i="6"/>
  <c r="A73" i="6" s="1"/>
  <c r="A27" i="6"/>
  <c r="A74" i="6" s="1"/>
  <c r="A28" i="6"/>
  <c r="A75" i="6" s="1"/>
  <c r="A29" i="6"/>
  <c r="A76" i="6" s="1"/>
  <c r="A30" i="6"/>
  <c r="A77" i="6" s="1"/>
  <c r="A31" i="6"/>
  <c r="A78" i="6" s="1"/>
  <c r="A32" i="6"/>
  <c r="A79" i="6"/>
  <c r="A17" i="6"/>
  <c r="A64" i="6" s="1"/>
  <c r="A8" i="6"/>
  <c r="A55" i="6" s="1"/>
  <c r="A9" i="6"/>
  <c r="A56" i="6" s="1"/>
  <c r="A10" i="6"/>
  <c r="A57" i="6" s="1"/>
  <c r="A11" i="6"/>
  <c r="A58" i="6" s="1"/>
  <c r="A12" i="6"/>
  <c r="A59" i="6" s="1"/>
  <c r="A13" i="6"/>
  <c r="A60" i="6" s="1"/>
  <c r="C39" i="6"/>
  <c r="C86" i="6" s="1"/>
  <c r="D39" i="6"/>
  <c r="D86" i="6" s="1"/>
  <c r="C16" i="6"/>
  <c r="C63" i="6" s="1"/>
  <c r="D16" i="6"/>
  <c r="D63" i="6" s="1"/>
  <c r="C92" i="6"/>
  <c r="D45" i="6"/>
  <c r="D92" i="6" s="1"/>
  <c r="C46" i="6"/>
  <c r="C93" i="6"/>
  <c r="D46" i="6"/>
  <c r="D93" i="6" s="1"/>
  <c r="C47" i="6"/>
  <c r="C94" i="6" s="1"/>
  <c r="D47" i="6"/>
  <c r="D94" i="6" s="1"/>
  <c r="B46" i="6"/>
  <c r="B93" i="6" s="1"/>
  <c r="B47" i="6"/>
  <c r="B94" i="6" s="1"/>
  <c r="B45" i="6"/>
  <c r="B92" i="6" s="1"/>
  <c r="B38" i="6"/>
  <c r="B85" i="6" s="1"/>
  <c r="B39" i="6"/>
  <c r="B86" i="6" s="1"/>
  <c r="B16" i="6"/>
  <c r="B63" i="6" s="1"/>
  <c r="B37" i="6"/>
  <c r="B84" i="6" s="1"/>
  <c r="B36" i="6"/>
  <c r="B83" i="6" s="1"/>
  <c r="B35" i="6"/>
  <c r="B82" i="6" s="1"/>
  <c r="B33" i="6"/>
  <c r="B80" i="6" s="1"/>
  <c r="B34" i="6"/>
  <c r="B81" i="6" s="1"/>
  <c r="B31" i="6"/>
  <c r="B78" i="6" s="1"/>
  <c r="B32" i="6"/>
  <c r="B79" i="6" s="1"/>
  <c r="B29" i="6"/>
  <c r="B76" i="6" s="1"/>
  <c r="B30" i="6"/>
  <c r="B77" i="6" s="1"/>
  <c r="B28" i="6"/>
  <c r="B75" i="6" s="1"/>
  <c r="B27" i="6"/>
  <c r="B74" i="6" s="1"/>
  <c r="B18" i="6"/>
  <c r="B65" i="6" s="1"/>
  <c r="B19" i="6"/>
  <c r="B66" i="6" s="1"/>
  <c r="B20" i="6"/>
  <c r="B67" i="6" s="1"/>
  <c r="B21" i="6"/>
  <c r="B68" i="6" s="1"/>
  <c r="B22" i="6"/>
  <c r="B69" i="6" s="1"/>
  <c r="B23" i="6"/>
  <c r="B70" i="6" s="1"/>
  <c r="B24" i="6"/>
  <c r="B71" i="6" s="1"/>
  <c r="B25" i="6"/>
  <c r="B72" i="6" s="1"/>
  <c r="B26" i="6"/>
  <c r="B73" i="6" s="1"/>
  <c r="B17" i="6"/>
  <c r="B64" i="6" s="1"/>
  <c r="B13" i="6"/>
  <c r="B60" i="6" s="1"/>
  <c r="B11" i="6"/>
  <c r="B58" i="6" s="1"/>
  <c r="B12" i="6"/>
  <c r="B59" i="6" s="1"/>
  <c r="B8" i="6"/>
  <c r="B55" i="6" s="1"/>
  <c r="B9" i="6"/>
  <c r="B56" i="6" s="1"/>
  <c r="B10" i="6"/>
  <c r="B57" i="6" s="1"/>
  <c r="B7" i="6"/>
  <c r="B54" i="6" s="1"/>
  <c r="A7" i="6"/>
  <c r="A54" i="6" s="1"/>
  <c r="A35" i="17"/>
  <c r="A36" i="17"/>
  <c r="A37" i="17"/>
  <c r="A7" i="17"/>
  <c r="A8" i="17"/>
  <c r="A9" i="17"/>
  <c r="A10" i="17"/>
  <c r="A11" i="17"/>
  <c r="A12" i="17"/>
  <c r="A13" i="17"/>
  <c r="B36" i="17"/>
  <c r="B37" i="17"/>
  <c r="B10" i="17"/>
  <c r="B11" i="17"/>
  <c r="B12" i="17"/>
  <c r="B13" i="17"/>
  <c r="F38" i="70"/>
  <c r="F37" i="70"/>
  <c r="G37" i="70" s="1"/>
  <c r="B1825" i="53" s="1"/>
  <c r="F12" i="70"/>
  <c r="G12" i="70" s="1"/>
  <c r="F13" i="70"/>
  <c r="F14" i="70"/>
  <c r="F11" i="70"/>
  <c r="C83" i="54"/>
  <c r="C73" i="54"/>
  <c r="C74" i="54"/>
  <c r="C84" i="54"/>
  <c r="C103" i="54"/>
  <c r="C107" i="54"/>
  <c r="C108" i="54"/>
  <c r="AB41" i="70" s="1"/>
  <c r="B1932" i="53" s="1"/>
  <c r="C109" i="54"/>
  <c r="AB42" i="70" s="1"/>
  <c r="B897" i="53" s="1"/>
  <c r="C81" i="54"/>
  <c r="A73" i="54"/>
  <c r="BW48" i="17"/>
  <c r="AK20" i="17"/>
  <c r="AJ20" i="17" s="1"/>
  <c r="AL20" i="17"/>
  <c r="AM20" i="17"/>
  <c r="AK21" i="17"/>
  <c r="AL21" i="17"/>
  <c r="AM21" i="17"/>
  <c r="AK22" i="17"/>
  <c r="AJ22" i="17" s="1"/>
  <c r="AL22" i="17"/>
  <c r="AM22" i="17"/>
  <c r="AK23" i="17"/>
  <c r="AJ23" i="17" s="1"/>
  <c r="AL23" i="17"/>
  <c r="AM23" i="17"/>
  <c r="AL24" i="17"/>
  <c r="AM24" i="17"/>
  <c r="AK25" i="17"/>
  <c r="AJ25" i="17" s="1"/>
  <c r="AL25" i="17"/>
  <c r="AM25" i="17"/>
  <c r="AK26" i="17"/>
  <c r="AJ26" i="17" s="1"/>
  <c r="AL26" i="17"/>
  <c r="AM26" i="17"/>
  <c r="AK27" i="17"/>
  <c r="AJ27" i="17" s="1"/>
  <c r="AL27" i="17"/>
  <c r="AM27" i="17"/>
  <c r="AL28" i="17"/>
  <c r="AM28" i="17"/>
  <c r="AK29" i="17"/>
  <c r="AJ29" i="17" s="1"/>
  <c r="AL29" i="17"/>
  <c r="AM29" i="17"/>
  <c r="AK30" i="17"/>
  <c r="AJ30" i="17" s="1"/>
  <c r="AL30" i="17"/>
  <c r="AM30" i="17"/>
  <c r="AK31" i="17"/>
  <c r="AJ31" i="17" s="1"/>
  <c r="AL31" i="17"/>
  <c r="AM31" i="17"/>
  <c r="AK32" i="17"/>
  <c r="AJ32" i="17" s="1"/>
  <c r="AM32" i="17"/>
  <c r="AL32" i="17"/>
  <c r="AK33" i="17"/>
  <c r="AJ33" i="17" s="1"/>
  <c r="AM33" i="17"/>
  <c r="AK17" i="17"/>
  <c r="AJ17" i="17" s="1"/>
  <c r="AM17" i="17"/>
  <c r="AL34" i="17"/>
  <c r="AM34" i="17"/>
  <c r="AK35" i="17"/>
  <c r="AJ35" i="17" s="1"/>
  <c r="AL35" i="17"/>
  <c r="AM35" i="17"/>
  <c r="AM19" i="17"/>
  <c r="AL19" i="17"/>
  <c r="AY19" i="102"/>
  <c r="AY88" i="102"/>
  <c r="AY89" i="102"/>
  <c r="AY91" i="102"/>
  <c r="AY67" i="102"/>
  <c r="AY45" i="102"/>
  <c r="AY61" i="102"/>
  <c r="AY48" i="102"/>
  <c r="AY42" i="102"/>
  <c r="AY69" i="102"/>
  <c r="AY10" i="102"/>
  <c r="AY6" i="102"/>
  <c r="AY31" i="102"/>
  <c r="P64" i="5"/>
  <c r="P52" i="5"/>
  <c r="P2" i="5"/>
  <c r="N2" i="5"/>
  <c r="F52" i="5"/>
  <c r="H52" i="5"/>
  <c r="J52" i="5"/>
  <c r="AY40" i="102"/>
  <c r="AW57" i="102"/>
  <c r="AY57" i="102"/>
  <c r="AY36" i="102"/>
  <c r="AY30" i="102"/>
  <c r="AW30" i="102"/>
  <c r="AY44" i="102"/>
  <c r="AW45" i="102"/>
  <c r="AW44" i="102"/>
  <c r="AW53" i="102"/>
  <c r="AV53" i="102"/>
  <c r="AX53" i="102" s="1"/>
  <c r="AW54" i="102"/>
  <c r="AC18" i="70"/>
  <c r="B1694" i="53" s="1"/>
  <c r="F18" i="70"/>
  <c r="AK7" i="17"/>
  <c r="AJ7" i="17" s="1"/>
  <c r="AL7" i="17"/>
  <c r="AM7" i="17"/>
  <c r="AK9" i="17"/>
  <c r="AJ9" i="17" s="1"/>
  <c r="AL9" i="17"/>
  <c r="AM9" i="17"/>
  <c r="AK16" i="17"/>
  <c r="AJ16" i="17" s="1"/>
  <c r="A6" i="6"/>
  <c r="A53" i="6" s="1"/>
  <c r="B6" i="6"/>
  <c r="B53" i="6" s="1"/>
  <c r="B126" i="54"/>
  <c r="C126" i="54"/>
  <c r="D126" i="54"/>
  <c r="B127" i="54"/>
  <c r="C127" i="54"/>
  <c r="D127" i="54"/>
  <c r="C125" i="54"/>
  <c r="D125" i="54"/>
  <c r="A83" i="54"/>
  <c r="A84" i="54"/>
  <c r="A85" i="54"/>
  <c r="A103" i="54"/>
  <c r="A107" i="54"/>
  <c r="A72" i="54"/>
  <c r="D73" i="54"/>
  <c r="D74" i="54"/>
  <c r="D81" i="54"/>
  <c r="C71" i="54"/>
  <c r="D84" i="54"/>
  <c r="D85" i="54"/>
  <c r="D86" i="54"/>
  <c r="D87" i="54"/>
  <c r="D88" i="54"/>
  <c r="D89" i="54"/>
  <c r="D90" i="54"/>
  <c r="D91" i="54"/>
  <c r="D92" i="54"/>
  <c r="D96" i="54"/>
  <c r="D97" i="54"/>
  <c r="D98" i="54"/>
  <c r="D82" i="54"/>
  <c r="D99" i="54"/>
  <c r="D100" i="54"/>
  <c r="D107" i="54"/>
  <c r="D108" i="54"/>
  <c r="D109" i="54"/>
  <c r="C72" i="54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17" i="17"/>
  <c r="A34" i="17"/>
  <c r="A16" i="17"/>
  <c r="B34" i="17"/>
  <c r="B35" i="17"/>
  <c r="B17" i="17"/>
  <c r="B9" i="17"/>
  <c r="AC36" i="70"/>
  <c r="B753" i="53" s="1"/>
  <c r="F36" i="70"/>
  <c r="F35" i="70"/>
  <c r="AW34" i="102"/>
  <c r="AW58" i="102"/>
  <c r="AY52" i="102"/>
  <c r="AW52" i="102"/>
  <c r="AW62" i="102"/>
  <c r="F31" i="70"/>
  <c r="G31" i="70" s="1"/>
  <c r="F32" i="70"/>
  <c r="G32" i="70" s="1"/>
  <c r="B589" i="53" s="1"/>
  <c r="F33" i="70"/>
  <c r="G33" i="70" s="1"/>
  <c r="AC33" i="70"/>
  <c r="B637" i="53" s="1"/>
  <c r="B29" i="17"/>
  <c r="B30" i="17"/>
  <c r="B31" i="17"/>
  <c r="B32" i="17"/>
  <c r="B20" i="17"/>
  <c r="B21" i="17"/>
  <c r="B22" i="17"/>
  <c r="B23" i="17"/>
  <c r="B24" i="17"/>
  <c r="B25" i="17"/>
  <c r="B26" i="17"/>
  <c r="B27" i="17"/>
  <c r="B28" i="17"/>
  <c r="B7" i="17"/>
  <c r="B33" i="17"/>
  <c r="B8" i="17"/>
  <c r="A126" i="54"/>
  <c r="A127" i="54"/>
  <c r="A125" i="54"/>
  <c r="F9" i="70"/>
  <c r="G9" i="70" s="1"/>
  <c r="AY25" i="102"/>
  <c r="AW25" i="102"/>
  <c r="AW9" i="102"/>
  <c r="AY9" i="102"/>
  <c r="AK8" i="17"/>
  <c r="AJ8" i="17" s="1"/>
  <c r="AK9" i="25" s="1"/>
  <c r="AN9" i="25" s="1"/>
  <c r="AL8" i="17"/>
  <c r="AM8" i="17"/>
  <c r="AW68" i="102"/>
  <c r="AW69" i="102"/>
  <c r="AW64" i="102"/>
  <c r="AV64" i="102"/>
  <c r="AX64" i="102" s="1"/>
  <c r="AW27" i="102"/>
  <c r="AY82" i="102"/>
  <c r="AY83" i="102"/>
  <c r="AY84" i="102"/>
  <c r="AM49" i="17"/>
  <c r="AM50" i="17"/>
  <c r="AM48" i="17"/>
  <c r="AL49" i="17"/>
  <c r="AL48" i="17"/>
  <c r="AK49" i="17"/>
  <c r="AJ49" i="17" s="1"/>
  <c r="AK50" i="17"/>
  <c r="AJ50" i="17" s="1"/>
  <c r="AK48" i="17"/>
  <c r="AJ48" i="17" s="1"/>
  <c r="AM39" i="17"/>
  <c r="AM40" i="17"/>
  <c r="AK39" i="17"/>
  <c r="AJ39" i="17" s="1"/>
  <c r="AK40" i="17"/>
  <c r="AJ40" i="17" s="1"/>
  <c r="AL6" i="17"/>
  <c r="AM41" i="17"/>
  <c r="AK41" i="17"/>
  <c r="AJ41" i="17" s="1"/>
  <c r="A39" i="17"/>
  <c r="A40" i="17"/>
  <c r="A49" i="17"/>
  <c r="A50" i="17"/>
  <c r="A48" i="17"/>
  <c r="A19" i="17"/>
  <c r="A6" i="17"/>
  <c r="A41" i="17"/>
  <c r="B39" i="17"/>
  <c r="AY65" i="102"/>
  <c r="AW65" i="102"/>
  <c r="AV87" i="102"/>
  <c r="AX87" i="102" s="1"/>
  <c r="AW87" i="102"/>
  <c r="F40" i="70"/>
  <c r="G40" i="70" s="1"/>
  <c r="F41" i="70"/>
  <c r="AW31" i="102"/>
  <c r="AW17" i="102"/>
  <c r="B125" i="54"/>
  <c r="B49" i="17"/>
  <c r="B50" i="17"/>
  <c r="B48" i="17"/>
  <c r="AV34" i="102"/>
  <c r="AX34" i="102" s="1"/>
  <c r="AV30" i="102"/>
  <c r="AX30" i="102" s="1"/>
  <c r="AV29" i="102"/>
  <c r="AX29" i="102"/>
  <c r="AV28" i="102"/>
  <c r="AV27" i="102"/>
  <c r="AX27" i="102"/>
  <c r="AV25" i="102"/>
  <c r="AX25" i="102"/>
  <c r="AW24" i="102"/>
  <c r="AW23" i="102"/>
  <c r="AV23" i="102"/>
  <c r="AX23" i="102" s="1"/>
  <c r="AV22" i="102"/>
  <c r="AX22" i="102"/>
  <c r="AW19" i="102"/>
  <c r="AV19" i="102"/>
  <c r="AX19" i="102" s="1"/>
  <c r="AW18" i="102"/>
  <c r="AV18" i="102"/>
  <c r="AX18" i="102" s="1"/>
  <c r="AV17" i="102"/>
  <c r="AW15" i="102"/>
  <c r="AW14" i="102"/>
  <c r="AV14" i="102"/>
  <c r="AX14" i="102"/>
  <c r="AW13" i="102"/>
  <c r="AV13" i="102"/>
  <c r="AX13" i="102" s="1"/>
  <c r="AV9" i="102"/>
  <c r="AX9" i="102"/>
  <c r="AV8" i="102"/>
  <c r="AX8" i="102"/>
  <c r="AW6" i="102"/>
  <c r="AV6" i="102"/>
  <c r="AX6" i="102" s="1"/>
  <c r="AV10" i="102"/>
  <c r="AX10" i="102" s="1"/>
  <c r="AV7" i="102"/>
  <c r="AX7" i="102"/>
  <c r="AW7" i="102"/>
  <c r="AW10" i="102"/>
  <c r="AW11" i="102"/>
  <c r="AW12" i="102"/>
  <c r="AW16" i="102"/>
  <c r="AW20" i="102"/>
  <c r="AW21" i="102"/>
  <c r="AW26" i="102"/>
  <c r="AW29" i="102"/>
  <c r="AW32" i="102"/>
  <c r="AW33" i="102"/>
  <c r="AW35" i="102"/>
  <c r="AW36" i="102"/>
  <c r="AW37" i="102"/>
  <c r="AW38" i="102"/>
  <c r="AW39" i="102"/>
  <c r="AW40" i="102"/>
  <c r="AW41" i="102"/>
  <c r="AW42" i="102"/>
  <c r="AW43" i="102"/>
  <c r="AW46" i="102"/>
  <c r="AW47" i="102"/>
  <c r="AW48" i="102"/>
  <c r="AW49" i="102"/>
  <c r="AW50" i="102"/>
  <c r="AW51" i="102"/>
  <c r="AW55" i="102"/>
  <c r="AW56" i="102"/>
  <c r="AW59" i="102"/>
  <c r="AW60" i="102"/>
  <c r="AW61" i="102"/>
  <c r="AW63" i="102"/>
  <c r="AW66" i="102"/>
  <c r="AW67" i="102"/>
  <c r="AW70" i="102"/>
  <c r="AW71" i="102"/>
  <c r="AW72" i="102"/>
  <c r="AW73" i="102"/>
  <c r="AW75" i="102"/>
  <c r="AW76" i="102"/>
  <c r="AW85" i="102"/>
  <c r="AW86" i="102"/>
  <c r="AV5" i="102"/>
  <c r="AX5" i="102"/>
  <c r="AV84" i="102"/>
  <c r="AX84" i="102" s="1"/>
  <c r="AV85" i="102"/>
  <c r="AX85" i="102"/>
  <c r="AV86" i="102"/>
  <c r="AX86" i="102"/>
  <c r="BR2" i="17"/>
  <c r="F49" i="70"/>
  <c r="G49" i="70"/>
  <c r="B2442" i="53" s="1"/>
  <c r="B6" i="17"/>
  <c r="F7" i="70"/>
  <c r="B3097" i="53"/>
  <c r="B2889" i="53"/>
  <c r="B3122" i="53"/>
  <c r="B3116" i="53"/>
  <c r="B3103" i="53"/>
  <c r="B3102" i="53"/>
  <c r="B3101" i="53"/>
  <c r="B3099" i="53"/>
  <c r="B3098" i="53"/>
  <c r="B3095" i="53"/>
  <c r="B3092" i="53"/>
  <c r="B3086" i="53"/>
  <c r="B3073" i="53"/>
  <c r="B3072" i="53"/>
  <c r="B3071" i="53"/>
  <c r="B3069" i="53"/>
  <c r="B3068" i="53"/>
  <c r="B3067" i="53"/>
  <c r="B3065" i="53"/>
  <c r="B3062" i="53"/>
  <c r="B3056" i="53"/>
  <c r="B3043" i="53"/>
  <c r="B3042" i="53"/>
  <c r="B3041" i="53"/>
  <c r="B3039" i="53"/>
  <c r="B3038" i="53"/>
  <c r="B3037" i="53"/>
  <c r="B3035" i="53"/>
  <c r="B3032" i="53"/>
  <c r="B3026" i="53"/>
  <c r="B3013" i="53"/>
  <c r="B3012" i="53"/>
  <c r="B3011" i="53"/>
  <c r="B3009" i="53"/>
  <c r="B3008" i="53"/>
  <c r="B3007" i="53"/>
  <c r="B3005" i="53"/>
  <c r="B2978" i="53"/>
  <c r="B2799" i="53"/>
  <c r="E2824" i="53" s="1"/>
  <c r="B2439" i="53"/>
  <c r="E2464" i="53" s="1"/>
  <c r="B2380" i="53"/>
  <c r="E2405" i="53" s="1"/>
  <c r="AV57" i="102"/>
  <c r="AX57" i="102"/>
  <c r="AV40" i="102"/>
  <c r="AX40" i="102"/>
  <c r="AV33" i="102"/>
  <c r="AX33" i="102" s="1"/>
  <c r="AV32" i="102"/>
  <c r="AX32" i="102" s="1"/>
  <c r="AV31" i="102"/>
  <c r="AX31" i="102" s="1"/>
  <c r="AX28" i="102"/>
  <c r="AV24" i="102"/>
  <c r="AX24" i="102" s="1"/>
  <c r="AV21" i="102"/>
  <c r="AX21" i="102"/>
  <c r="AV20" i="102"/>
  <c r="AX20" i="102"/>
  <c r="AX17" i="102"/>
  <c r="AV16" i="102"/>
  <c r="AX16" i="102" s="1"/>
  <c r="AV15" i="102"/>
  <c r="AX15" i="102" s="1"/>
  <c r="AV11" i="102"/>
  <c r="AX11" i="102"/>
  <c r="AV12" i="102"/>
  <c r="AX12" i="102"/>
  <c r="AV26" i="102"/>
  <c r="AX26" i="102" s="1"/>
  <c r="AV35" i="102"/>
  <c r="AX35" i="102"/>
  <c r="AV36" i="102"/>
  <c r="AX36" i="102"/>
  <c r="AV37" i="102"/>
  <c r="AX37" i="102"/>
  <c r="AV38" i="102"/>
  <c r="AX38" i="102" s="1"/>
  <c r="AV39" i="102"/>
  <c r="AX39" i="102"/>
  <c r="AV41" i="102"/>
  <c r="AX41" i="102"/>
  <c r="AV42" i="102"/>
  <c r="AX42" i="102"/>
  <c r="AV43" i="102"/>
  <c r="AX43" i="102" s="1"/>
  <c r="AV44" i="102"/>
  <c r="AX44" i="102"/>
  <c r="AV45" i="102"/>
  <c r="AX45" i="102"/>
  <c r="AV46" i="102"/>
  <c r="AX46" i="102" s="1"/>
  <c r="AV47" i="102"/>
  <c r="AX47" i="102" s="1"/>
  <c r="AV48" i="102"/>
  <c r="AX48" i="102"/>
  <c r="AV49" i="102"/>
  <c r="AX49" i="102"/>
  <c r="AV50" i="102"/>
  <c r="AX50" i="102"/>
  <c r="AV51" i="102"/>
  <c r="AX51" i="102" s="1"/>
  <c r="AV52" i="102"/>
  <c r="AX52" i="102"/>
  <c r="AV54" i="102"/>
  <c r="AX54" i="102"/>
  <c r="AV55" i="102"/>
  <c r="AX55" i="102" s="1"/>
  <c r="AV56" i="102"/>
  <c r="AX56" i="102" s="1"/>
  <c r="AV58" i="102"/>
  <c r="AX58" i="102" s="1"/>
  <c r="AV59" i="102"/>
  <c r="AX59" i="102"/>
  <c r="AV60" i="102"/>
  <c r="AX60" i="102"/>
  <c r="AV61" i="102"/>
  <c r="AX61" i="102" s="1"/>
  <c r="AV62" i="102"/>
  <c r="AX62" i="102" s="1"/>
  <c r="AV63" i="102"/>
  <c r="AX63" i="102" s="1"/>
  <c r="AV65" i="102"/>
  <c r="AX65" i="102"/>
  <c r="AV66" i="102"/>
  <c r="AX66" i="102" s="1"/>
  <c r="AV67" i="102"/>
  <c r="AX67" i="102" s="1"/>
  <c r="AV68" i="102"/>
  <c r="AX68" i="102" s="1"/>
  <c r="AV69" i="102"/>
  <c r="AX69" i="102" s="1"/>
  <c r="AV70" i="102"/>
  <c r="AX70" i="102" s="1"/>
  <c r="AV71" i="102"/>
  <c r="AX71" i="102" s="1"/>
  <c r="AV72" i="102"/>
  <c r="AX72" i="102"/>
  <c r="AV73" i="102"/>
  <c r="AX73" i="102" s="1"/>
  <c r="AV74" i="102"/>
  <c r="AX74" i="102" s="1"/>
  <c r="AV75" i="102"/>
  <c r="AX75" i="102" s="1"/>
  <c r="AV76" i="102"/>
  <c r="AX76" i="102"/>
  <c r="AV77" i="102"/>
  <c r="AX77" i="102" s="1"/>
  <c r="AV78" i="102"/>
  <c r="AX78" i="102" s="1"/>
  <c r="AV79" i="102"/>
  <c r="AX79" i="102" s="1"/>
  <c r="AV80" i="102"/>
  <c r="AX80" i="102" s="1"/>
  <c r="AV81" i="102"/>
  <c r="AX81" i="102"/>
  <c r="AV82" i="102"/>
  <c r="AX82" i="102" s="1"/>
  <c r="AV83" i="102"/>
  <c r="AX83" i="102" s="1"/>
  <c r="AC23" i="70"/>
  <c r="AR4" i="72"/>
  <c r="B2977" i="53"/>
  <c r="E3002" i="53" s="1"/>
  <c r="B2947" i="53"/>
  <c r="E2972" i="53" s="1"/>
  <c r="B2918" i="53"/>
  <c r="E2943" i="53" s="1"/>
  <c r="B2888" i="53"/>
  <c r="E2913" i="53" s="1"/>
  <c r="B2858" i="53"/>
  <c r="E2883" i="53" s="1"/>
  <c r="B2828" i="53"/>
  <c r="E2853" i="53" s="1"/>
  <c r="B2679" i="53"/>
  <c r="E2704" i="53" s="1"/>
  <c r="B2649" i="53"/>
  <c r="E2674" i="53" s="1"/>
  <c r="AN2" i="17"/>
  <c r="B16" i="17"/>
  <c r="AC17" i="70"/>
  <c r="B927" i="53" s="1"/>
  <c r="F17" i="70"/>
  <c r="B3091" i="53"/>
  <c r="B3121" i="53"/>
  <c r="B3061" i="53"/>
  <c r="B3031" i="53"/>
  <c r="B3118" i="53"/>
  <c r="B3088" i="53"/>
  <c r="B3028" i="53"/>
  <c r="B3058" i="53"/>
  <c r="F34" i="70"/>
  <c r="G34" i="70" s="1"/>
  <c r="G8" i="8"/>
  <c r="X8" i="8" s="1"/>
  <c r="I6" i="8"/>
  <c r="Z6" i="8" s="1"/>
  <c r="G6" i="8"/>
  <c r="X6" i="8" s="1"/>
  <c r="I4" i="8"/>
  <c r="Z4" i="8" s="1"/>
  <c r="G4" i="8"/>
  <c r="E7" i="10"/>
  <c r="D5" i="10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A4" i="11"/>
  <c r="A5" i="1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C50" i="70"/>
  <c r="B2521" i="53" s="1"/>
  <c r="AC51" i="70"/>
  <c r="B1159" i="53"/>
  <c r="B1605" i="53"/>
  <c r="AC28" i="70"/>
  <c r="B492" i="53" s="1"/>
  <c r="AC30" i="70"/>
  <c r="B550" i="53" s="1"/>
  <c r="AC20" i="70"/>
  <c r="AC21" i="70"/>
  <c r="AC22" i="70"/>
  <c r="B318" i="53" s="1"/>
  <c r="B347" i="53"/>
  <c r="AC24" i="70"/>
  <c r="B376" i="53" s="1"/>
  <c r="AC25" i="70"/>
  <c r="B405" i="53" s="1"/>
  <c r="AC26" i="70"/>
  <c r="B434" i="53" s="1"/>
  <c r="AC27" i="70"/>
  <c r="B463" i="53" s="1"/>
  <c r="AC29" i="70"/>
  <c r="B521" i="53" s="1"/>
  <c r="B3119" i="53"/>
  <c r="B3089" i="53"/>
  <c r="B3029" i="53"/>
  <c r="B3059" i="53"/>
  <c r="U72" i="9"/>
  <c r="V72" i="11" s="1"/>
  <c r="AA72" i="11" s="1"/>
  <c r="U66" i="9"/>
  <c r="Y66" i="9" s="1"/>
  <c r="U67" i="9"/>
  <c r="U68" i="9"/>
  <c r="AD68" i="9" s="1"/>
  <c r="U69" i="9"/>
  <c r="U70" i="9"/>
  <c r="U71" i="9"/>
  <c r="AI71" i="9" s="1"/>
  <c r="U65" i="9"/>
  <c r="AH65" i="9" s="1"/>
  <c r="U2" i="8"/>
  <c r="D4" i="9" s="1"/>
  <c r="U64" i="9"/>
  <c r="U63" i="9"/>
  <c r="F42" i="70"/>
  <c r="F50" i="70"/>
  <c r="F51" i="70"/>
  <c r="F30" i="70"/>
  <c r="B3070" i="53"/>
  <c r="B3100" i="53"/>
  <c r="B3002" i="53"/>
  <c r="B2996" i="53"/>
  <c r="B2983" i="53"/>
  <c r="B2982" i="53"/>
  <c r="B2981" i="53"/>
  <c r="B2979" i="53"/>
  <c r="B2975" i="53"/>
  <c r="B2943" i="53"/>
  <c r="B2937" i="53"/>
  <c r="B2924" i="53"/>
  <c r="B2923" i="53"/>
  <c r="B2922" i="53"/>
  <c r="B2920" i="53"/>
  <c r="B2919" i="53"/>
  <c r="B2916" i="53"/>
  <c r="B2883" i="53"/>
  <c r="B2877" i="53"/>
  <c r="B2864" i="53"/>
  <c r="B2863" i="53"/>
  <c r="B2862" i="53"/>
  <c r="B2860" i="53"/>
  <c r="B2859" i="53"/>
  <c r="B2856" i="53"/>
  <c r="B2824" i="53"/>
  <c r="B2818" i="53"/>
  <c r="B2805" i="53"/>
  <c r="B2804" i="53"/>
  <c r="B2803" i="53"/>
  <c r="B2801" i="53"/>
  <c r="B2800" i="53"/>
  <c r="B2797" i="53"/>
  <c r="B2764" i="53"/>
  <c r="B2758" i="53"/>
  <c r="B2745" i="53"/>
  <c r="B2744" i="53"/>
  <c r="B2743" i="53"/>
  <c r="B2741" i="53"/>
  <c r="B2740" i="53"/>
  <c r="B2739" i="53"/>
  <c r="E2764" i="53" s="1"/>
  <c r="B2737" i="53"/>
  <c r="B2704" i="53"/>
  <c r="B2698" i="53"/>
  <c r="B2685" i="53"/>
  <c r="B2684" i="53"/>
  <c r="B2683" i="53"/>
  <c r="B2681" i="53"/>
  <c r="B2680" i="53"/>
  <c r="B2677" i="53"/>
  <c r="B2644" i="53"/>
  <c r="B2638" i="53"/>
  <c r="B2625" i="53"/>
  <c r="B2624" i="53"/>
  <c r="B2623" i="53"/>
  <c r="B2621" i="53"/>
  <c r="B2620" i="53"/>
  <c r="B2619" i="53"/>
  <c r="E2644" i="53" s="1"/>
  <c r="B2617" i="53"/>
  <c r="B2584" i="53"/>
  <c r="B2578" i="53"/>
  <c r="B2565" i="53"/>
  <c r="B2564" i="53"/>
  <c r="B2563" i="53"/>
  <c r="B2561" i="53"/>
  <c r="B2560" i="53"/>
  <c r="B2559" i="53"/>
  <c r="E2584" i="53" s="1"/>
  <c r="B2557" i="53"/>
  <c r="B2524" i="53"/>
  <c r="B2518" i="53"/>
  <c r="B2505" i="53"/>
  <c r="B2504" i="53"/>
  <c r="B2503" i="53"/>
  <c r="B2501" i="53"/>
  <c r="B2500" i="53"/>
  <c r="B2499" i="53"/>
  <c r="E2524" i="53" s="1"/>
  <c r="B2497" i="53"/>
  <c r="B2464" i="53"/>
  <c r="B2445" i="53"/>
  <c r="B2444" i="53"/>
  <c r="B2443" i="53"/>
  <c r="B2441" i="53"/>
  <c r="B2440" i="53"/>
  <c r="B2437" i="53"/>
  <c r="B2405" i="53"/>
  <c r="B2399" i="53"/>
  <c r="B2386" i="53"/>
  <c r="B2385" i="53"/>
  <c r="B2384" i="53"/>
  <c r="B2382" i="53"/>
  <c r="B2381" i="53"/>
  <c r="B2378" i="53"/>
  <c r="B2345" i="53"/>
  <c r="B2339" i="53"/>
  <c r="B2326" i="53"/>
  <c r="B2325" i="53"/>
  <c r="B2324" i="53"/>
  <c r="B2322" i="53"/>
  <c r="B2321" i="53"/>
  <c r="B2320" i="53"/>
  <c r="E2345" i="53" s="1"/>
  <c r="B2318" i="53"/>
  <c r="B2286" i="53"/>
  <c r="B2267" i="53"/>
  <c r="B2266" i="53"/>
  <c r="B2265" i="53"/>
  <c r="B2263" i="53"/>
  <c r="B2262" i="53"/>
  <c r="B2261" i="53"/>
  <c r="E2286" i="53" s="1"/>
  <c r="B2259" i="53"/>
  <c r="B2226" i="53"/>
  <c r="B2220" i="53"/>
  <c r="B2207" i="53"/>
  <c r="B2206" i="53"/>
  <c r="B2205" i="53"/>
  <c r="B2203" i="53"/>
  <c r="B2202" i="53"/>
  <c r="B2201" i="53"/>
  <c r="E2226" i="53" s="1"/>
  <c r="B2199" i="53"/>
  <c r="B2168" i="53"/>
  <c r="B2162" i="53"/>
  <c r="B2149" i="53"/>
  <c r="B2148" i="53"/>
  <c r="B2147" i="53"/>
  <c r="B2145" i="53"/>
  <c r="B2141" i="53"/>
  <c r="B2110" i="53"/>
  <c r="B2104" i="53"/>
  <c r="B2091" i="53"/>
  <c r="B2090" i="53"/>
  <c r="B2089" i="53"/>
  <c r="B2087" i="53"/>
  <c r="B2086" i="53"/>
  <c r="B2085" i="53"/>
  <c r="E2110" i="53" s="1"/>
  <c r="B2083" i="53"/>
  <c r="B2052" i="53"/>
  <c r="B2046" i="53"/>
  <c r="B2033" i="53"/>
  <c r="B2032" i="53"/>
  <c r="B2031" i="53"/>
  <c r="B2029" i="53"/>
  <c r="B2028" i="53"/>
  <c r="B2027" i="53"/>
  <c r="E2052" i="53" s="1"/>
  <c r="B2025" i="53"/>
  <c r="B1994" i="53"/>
  <c r="B1988" i="53"/>
  <c r="B1975" i="53"/>
  <c r="B1974" i="53"/>
  <c r="B1973" i="53"/>
  <c r="B1971" i="53"/>
  <c r="B1970" i="53"/>
  <c r="B1969" i="53"/>
  <c r="E1994" i="53" s="1"/>
  <c r="B1967" i="53"/>
  <c r="B1930" i="53"/>
  <c r="B1917" i="53"/>
  <c r="B1916" i="53"/>
  <c r="B1915" i="53"/>
  <c r="B1913" i="53"/>
  <c r="B1912" i="53"/>
  <c r="B1911" i="53"/>
  <c r="E1936" i="53" s="1"/>
  <c r="B1909" i="53"/>
  <c r="B1877" i="53"/>
  <c r="B1871" i="53"/>
  <c r="B1858" i="53"/>
  <c r="B1857" i="53"/>
  <c r="B1856" i="53"/>
  <c r="B1854" i="53"/>
  <c r="B1853" i="53"/>
  <c r="B1852" i="53"/>
  <c r="E1877" i="53" s="1"/>
  <c r="B1850" i="53"/>
  <c r="B1817" i="53"/>
  <c r="B1811" i="53"/>
  <c r="B1798" i="53"/>
  <c r="B1797" i="53"/>
  <c r="B1796" i="53"/>
  <c r="B1794" i="53"/>
  <c r="B1793" i="53"/>
  <c r="B1792" i="53"/>
  <c r="E1817" i="53" s="1"/>
  <c r="B1790" i="53"/>
  <c r="B1751" i="53"/>
  <c r="B1738" i="53"/>
  <c r="B1737" i="53"/>
  <c r="B1736" i="53"/>
  <c r="B1734" i="53"/>
  <c r="B1733" i="53"/>
  <c r="B1732" i="53"/>
  <c r="E1757" i="53" s="1"/>
  <c r="B1730" i="53"/>
  <c r="B1691" i="53"/>
  <c r="B1678" i="53"/>
  <c r="B1677" i="53"/>
  <c r="B1676" i="53"/>
  <c r="B1674" i="53"/>
  <c r="B1673" i="53"/>
  <c r="B1672" i="53"/>
  <c r="E1697" i="53" s="1"/>
  <c r="B1670" i="53"/>
  <c r="B1632" i="53"/>
  <c r="B1619" i="53"/>
  <c r="B1618" i="53"/>
  <c r="B1617" i="53"/>
  <c r="B1615" i="53"/>
  <c r="B1614" i="53"/>
  <c r="B1613" i="53"/>
  <c r="E1638" i="53" s="1"/>
  <c r="B1611" i="53"/>
  <c r="B1559" i="53"/>
  <c r="B1558" i="53"/>
  <c r="B1557" i="53"/>
  <c r="B1555" i="53"/>
  <c r="B1554" i="53"/>
  <c r="B1553" i="53"/>
  <c r="E1578" i="53" s="1"/>
  <c r="B1551" i="53"/>
  <c r="B1500" i="53"/>
  <c r="B1499" i="53"/>
  <c r="B1498" i="53"/>
  <c r="B1496" i="53"/>
  <c r="B1495" i="53"/>
  <c r="B1494" i="53"/>
  <c r="E1519" i="53" s="1"/>
  <c r="B1492" i="53"/>
  <c r="B1453" i="53"/>
  <c r="B1440" i="53"/>
  <c r="B1439" i="53"/>
  <c r="B1438" i="53"/>
  <c r="B1436" i="53"/>
  <c r="B1435" i="53"/>
  <c r="B1434" i="53"/>
  <c r="E1459" i="53" s="1"/>
  <c r="B1432" i="53"/>
  <c r="B1393" i="53"/>
  <c r="B1380" i="53"/>
  <c r="B1379" i="53"/>
  <c r="B1378" i="53"/>
  <c r="B1376" i="53"/>
  <c r="B1375" i="53"/>
  <c r="B1374" i="53"/>
  <c r="E1399" i="53" s="1"/>
  <c r="B1372" i="53"/>
  <c r="B1334" i="53"/>
  <c r="B1321" i="53"/>
  <c r="B1320" i="53"/>
  <c r="B1319" i="53"/>
  <c r="B1317" i="53"/>
  <c r="B1316" i="53"/>
  <c r="B1315" i="53"/>
  <c r="E1340" i="53" s="1"/>
  <c r="B1313" i="53"/>
  <c r="B1274" i="53"/>
  <c r="B1261" i="53"/>
  <c r="B1260" i="53"/>
  <c r="B1259" i="53"/>
  <c r="B1257" i="53"/>
  <c r="B1256" i="53"/>
  <c r="B1255" i="53"/>
  <c r="E1280" i="53" s="1"/>
  <c r="B1253" i="53"/>
  <c r="B1194" i="53"/>
  <c r="B1077" i="53"/>
  <c r="B1019" i="53"/>
  <c r="B961" i="53"/>
  <c r="B903" i="53"/>
  <c r="B845" i="53"/>
  <c r="B787" i="53"/>
  <c r="B729" i="53"/>
  <c r="B671" i="53"/>
  <c r="B613" i="53"/>
  <c r="B555" i="53"/>
  <c r="B497" i="53"/>
  <c r="B439" i="53"/>
  <c r="B381" i="53"/>
  <c r="B323" i="53"/>
  <c r="B265" i="53"/>
  <c r="B207" i="53"/>
  <c r="B149" i="53"/>
  <c r="B90" i="53"/>
  <c r="B31" i="53"/>
  <c r="B2589" i="53"/>
  <c r="E2614" i="53" s="1"/>
  <c r="U62" i="9"/>
  <c r="AF62" i="9" s="1"/>
  <c r="U61" i="9"/>
  <c r="B1762" i="53"/>
  <c r="E1787" i="53" s="1"/>
  <c r="D9" i="31"/>
  <c r="D10" i="31"/>
  <c r="D11" i="31"/>
  <c r="D12" i="31"/>
  <c r="D13" i="31"/>
  <c r="I169" i="31"/>
  <c r="J169" i="31"/>
  <c r="F169" i="31"/>
  <c r="E169" i="31"/>
  <c r="D169" i="31"/>
  <c r="I168" i="31"/>
  <c r="L168" i="31"/>
  <c r="F168" i="31"/>
  <c r="E168" i="31"/>
  <c r="D168" i="31"/>
  <c r="I167" i="31"/>
  <c r="L167" i="31" s="1"/>
  <c r="F167" i="31"/>
  <c r="E167" i="31"/>
  <c r="D167" i="31"/>
  <c r="I166" i="31"/>
  <c r="F166" i="31"/>
  <c r="E166" i="31"/>
  <c r="D166" i="31"/>
  <c r="I165" i="31"/>
  <c r="J165" i="31" s="1"/>
  <c r="F165" i="31"/>
  <c r="E165" i="31"/>
  <c r="D165" i="31"/>
  <c r="I164" i="31"/>
  <c r="K164" i="31" s="1"/>
  <c r="F164" i="31"/>
  <c r="E164" i="31"/>
  <c r="D164" i="31"/>
  <c r="I163" i="31"/>
  <c r="L163" i="31" s="1"/>
  <c r="F163" i="31"/>
  <c r="E163" i="31"/>
  <c r="D163" i="31"/>
  <c r="I162" i="31"/>
  <c r="K162" i="31"/>
  <c r="F162" i="31"/>
  <c r="E162" i="31"/>
  <c r="D162" i="31"/>
  <c r="I161" i="31"/>
  <c r="F161" i="31"/>
  <c r="E161" i="31"/>
  <c r="D161" i="31"/>
  <c r="I160" i="31"/>
  <c r="K160" i="31"/>
  <c r="F160" i="31"/>
  <c r="E160" i="31"/>
  <c r="D160" i="31"/>
  <c r="I159" i="31"/>
  <c r="L159" i="31" s="1"/>
  <c r="F159" i="31"/>
  <c r="E159" i="31"/>
  <c r="D159" i="31"/>
  <c r="I158" i="31"/>
  <c r="K158" i="31" s="1"/>
  <c r="F158" i="31"/>
  <c r="E158" i="31"/>
  <c r="D158" i="31"/>
  <c r="I157" i="31"/>
  <c r="J157" i="31" s="1"/>
  <c r="F157" i="31"/>
  <c r="E157" i="31"/>
  <c r="D157" i="31"/>
  <c r="I156" i="31"/>
  <c r="K156" i="31" s="1"/>
  <c r="F156" i="31"/>
  <c r="E156" i="31"/>
  <c r="D156" i="31"/>
  <c r="I155" i="31"/>
  <c r="L155" i="31" s="1"/>
  <c r="F155" i="31"/>
  <c r="E155" i="31"/>
  <c r="D155" i="31"/>
  <c r="I154" i="31"/>
  <c r="K154" i="31"/>
  <c r="F154" i="31"/>
  <c r="E154" i="31"/>
  <c r="D154" i="31"/>
  <c r="I153" i="31"/>
  <c r="J153" i="31" s="1"/>
  <c r="F153" i="31"/>
  <c r="E153" i="31"/>
  <c r="D153" i="31"/>
  <c r="I152" i="31"/>
  <c r="L152" i="31"/>
  <c r="F152" i="31"/>
  <c r="E152" i="31"/>
  <c r="D152" i="31"/>
  <c r="I151" i="31"/>
  <c r="L151" i="31" s="1"/>
  <c r="F151" i="31"/>
  <c r="E151" i="31"/>
  <c r="D151" i="31"/>
  <c r="I150" i="31"/>
  <c r="F150" i="31"/>
  <c r="E150" i="31"/>
  <c r="D150" i="31"/>
  <c r="I149" i="31"/>
  <c r="J149" i="31" s="1"/>
  <c r="F149" i="31"/>
  <c r="E149" i="31"/>
  <c r="D149" i="31"/>
  <c r="I148" i="31"/>
  <c r="F148" i="31"/>
  <c r="E148" i="31"/>
  <c r="D148" i="31"/>
  <c r="I147" i="31"/>
  <c r="L147" i="31"/>
  <c r="F147" i="31"/>
  <c r="E147" i="31"/>
  <c r="D147" i="31"/>
  <c r="I146" i="31"/>
  <c r="K146" i="31"/>
  <c r="F146" i="31"/>
  <c r="E146" i="31"/>
  <c r="D146" i="31"/>
  <c r="I145" i="31"/>
  <c r="L145" i="31" s="1"/>
  <c r="F145" i="31"/>
  <c r="E145" i="31"/>
  <c r="D145" i="31"/>
  <c r="I144" i="31"/>
  <c r="L144" i="31"/>
  <c r="F144" i="31"/>
  <c r="E144" i="31"/>
  <c r="D144" i="31"/>
  <c r="I143" i="31"/>
  <c r="L143" i="31" s="1"/>
  <c r="F143" i="31"/>
  <c r="E143" i="31"/>
  <c r="D143" i="31"/>
  <c r="I142" i="31"/>
  <c r="K142" i="31"/>
  <c r="F142" i="31"/>
  <c r="E142" i="31"/>
  <c r="D142" i="31"/>
  <c r="I141" i="31"/>
  <c r="J141" i="31" s="1"/>
  <c r="F141" i="31"/>
  <c r="E141" i="31"/>
  <c r="D141" i="31"/>
  <c r="I140" i="31"/>
  <c r="F140" i="31"/>
  <c r="E140" i="31"/>
  <c r="D140" i="31"/>
  <c r="I139" i="31"/>
  <c r="L139" i="31" s="1"/>
  <c r="F139" i="31"/>
  <c r="E139" i="31"/>
  <c r="D139" i="31"/>
  <c r="I138" i="31"/>
  <c r="K138" i="31"/>
  <c r="F138" i="31"/>
  <c r="E138" i="31"/>
  <c r="D138" i="31"/>
  <c r="I137" i="31"/>
  <c r="J137" i="31"/>
  <c r="F137" i="31"/>
  <c r="E137" i="31"/>
  <c r="D137" i="31"/>
  <c r="I136" i="31"/>
  <c r="L136" i="31"/>
  <c r="F136" i="31"/>
  <c r="E136" i="31"/>
  <c r="D136" i="31"/>
  <c r="I135" i="31"/>
  <c r="L135" i="31" s="1"/>
  <c r="F135" i="31"/>
  <c r="E135" i="31"/>
  <c r="D135" i="31"/>
  <c r="I134" i="31"/>
  <c r="K134" i="31" s="1"/>
  <c r="F134" i="31"/>
  <c r="E134" i="31"/>
  <c r="D134" i="31"/>
  <c r="I133" i="31"/>
  <c r="J133" i="31" s="1"/>
  <c r="F133" i="31"/>
  <c r="E133" i="31"/>
  <c r="D133" i="31"/>
  <c r="I132" i="31"/>
  <c r="K132" i="31" s="1"/>
  <c r="F132" i="31"/>
  <c r="E132" i="31"/>
  <c r="D132" i="31"/>
  <c r="I131" i="31"/>
  <c r="L131" i="31"/>
  <c r="F131" i="31"/>
  <c r="E131" i="31"/>
  <c r="D131" i="31"/>
  <c r="I130" i="31"/>
  <c r="K130" i="31"/>
  <c r="F130" i="31"/>
  <c r="E130" i="31"/>
  <c r="D130" i="31"/>
  <c r="I129" i="31"/>
  <c r="F129" i="31"/>
  <c r="E129" i="31"/>
  <c r="D129" i="31"/>
  <c r="I128" i="31"/>
  <c r="L128" i="31"/>
  <c r="F128" i="31"/>
  <c r="E128" i="31"/>
  <c r="D128" i="31"/>
  <c r="I127" i="31"/>
  <c r="L127" i="31" s="1"/>
  <c r="F127" i="31"/>
  <c r="E127" i="31"/>
  <c r="D127" i="31"/>
  <c r="I126" i="31"/>
  <c r="K126" i="31"/>
  <c r="F126" i="31"/>
  <c r="E126" i="31"/>
  <c r="D126" i="31"/>
  <c r="I125" i="31"/>
  <c r="J125" i="31" s="1"/>
  <c r="F125" i="31"/>
  <c r="E125" i="31"/>
  <c r="D125" i="31"/>
  <c r="I124" i="31"/>
  <c r="K124" i="31" s="1"/>
  <c r="F124" i="31"/>
  <c r="E124" i="31"/>
  <c r="D124" i="31"/>
  <c r="I123" i="31"/>
  <c r="L123" i="31"/>
  <c r="F123" i="31"/>
  <c r="E123" i="31"/>
  <c r="D123" i="31"/>
  <c r="I122" i="31"/>
  <c r="K122" i="31"/>
  <c r="F122" i="31"/>
  <c r="E122" i="31"/>
  <c r="D122" i="31"/>
  <c r="I121" i="31"/>
  <c r="J121" i="31"/>
  <c r="F121" i="31"/>
  <c r="E121" i="31"/>
  <c r="D121" i="31"/>
  <c r="I120" i="31"/>
  <c r="L120" i="31"/>
  <c r="F120" i="31"/>
  <c r="E120" i="31"/>
  <c r="D120" i="31"/>
  <c r="I119" i="31"/>
  <c r="L119" i="31" s="1"/>
  <c r="F119" i="31"/>
  <c r="E119" i="31"/>
  <c r="D119" i="31"/>
  <c r="I118" i="31"/>
  <c r="K118" i="31"/>
  <c r="F118" i="31"/>
  <c r="E118" i="31"/>
  <c r="D118" i="31"/>
  <c r="I117" i="31"/>
  <c r="J117" i="31" s="1"/>
  <c r="F117" i="31"/>
  <c r="E117" i="31"/>
  <c r="D117" i="31"/>
  <c r="I116" i="31"/>
  <c r="K116" i="31" s="1"/>
  <c r="F116" i="31"/>
  <c r="E116" i="31"/>
  <c r="D116" i="31"/>
  <c r="I115" i="31"/>
  <c r="F115" i="31"/>
  <c r="E115" i="31"/>
  <c r="D115" i="31"/>
  <c r="I114" i="31"/>
  <c r="K114" i="31"/>
  <c r="F114" i="31"/>
  <c r="E114" i="31"/>
  <c r="D114" i="31"/>
  <c r="I113" i="31"/>
  <c r="J113" i="31" s="1"/>
  <c r="F113" i="31"/>
  <c r="E113" i="31"/>
  <c r="D113" i="31"/>
  <c r="I112" i="31"/>
  <c r="L112" i="31"/>
  <c r="F112" i="31"/>
  <c r="E112" i="31"/>
  <c r="D112" i="31"/>
  <c r="I111" i="31"/>
  <c r="L111" i="31" s="1"/>
  <c r="F111" i="31"/>
  <c r="E111" i="31"/>
  <c r="D111" i="31"/>
  <c r="I110" i="31"/>
  <c r="K110" i="31" s="1"/>
  <c r="F110" i="31"/>
  <c r="E110" i="31"/>
  <c r="D110" i="31"/>
  <c r="I109" i="31"/>
  <c r="J109" i="31" s="1"/>
  <c r="F109" i="31"/>
  <c r="E109" i="31"/>
  <c r="D109" i="31"/>
  <c r="I108" i="31"/>
  <c r="K108" i="31" s="1"/>
  <c r="F108" i="31"/>
  <c r="E108" i="31"/>
  <c r="D108" i="31"/>
  <c r="I107" i="31"/>
  <c r="L107" i="31" s="1"/>
  <c r="F107" i="31"/>
  <c r="E107" i="31"/>
  <c r="D107" i="31"/>
  <c r="I106" i="31"/>
  <c r="K106" i="31"/>
  <c r="F106" i="31"/>
  <c r="E106" i="31"/>
  <c r="D106" i="31"/>
  <c r="I105" i="31"/>
  <c r="J105" i="31"/>
  <c r="F105" i="31"/>
  <c r="E105" i="31"/>
  <c r="D105" i="31"/>
  <c r="I104" i="31"/>
  <c r="L104" i="31"/>
  <c r="F104" i="31"/>
  <c r="E104" i="31"/>
  <c r="D104" i="31"/>
  <c r="I103" i="31"/>
  <c r="L103" i="31" s="1"/>
  <c r="F103" i="31"/>
  <c r="E103" i="31"/>
  <c r="D103" i="31"/>
  <c r="I102" i="31"/>
  <c r="L102" i="31" s="1"/>
  <c r="F102" i="31"/>
  <c r="E102" i="31"/>
  <c r="D102" i="31"/>
  <c r="I101" i="31"/>
  <c r="J101" i="31" s="1"/>
  <c r="F101" i="31"/>
  <c r="E101" i="31"/>
  <c r="D101" i="31"/>
  <c r="I100" i="31"/>
  <c r="K100" i="31" s="1"/>
  <c r="F100" i="31"/>
  <c r="E100" i="31"/>
  <c r="D100" i="31"/>
  <c r="I99" i="31"/>
  <c r="L99" i="31" s="1"/>
  <c r="F99" i="31"/>
  <c r="E99" i="31"/>
  <c r="D99" i="31"/>
  <c r="I98" i="31"/>
  <c r="K98" i="31"/>
  <c r="F98" i="31"/>
  <c r="E98" i="31"/>
  <c r="D98" i="31"/>
  <c r="I97" i="31"/>
  <c r="L97" i="31" s="1"/>
  <c r="F97" i="31"/>
  <c r="E97" i="31"/>
  <c r="D97" i="31"/>
  <c r="I96" i="31"/>
  <c r="L96" i="31"/>
  <c r="F96" i="31"/>
  <c r="E96" i="31"/>
  <c r="D96" i="31"/>
  <c r="I95" i="31"/>
  <c r="L95" i="31" s="1"/>
  <c r="F95" i="31"/>
  <c r="E95" i="31"/>
  <c r="D95" i="31"/>
  <c r="I94" i="31"/>
  <c r="K94" i="31" s="1"/>
  <c r="F94" i="31"/>
  <c r="E94" i="31"/>
  <c r="D94" i="31"/>
  <c r="I93" i="31"/>
  <c r="J93" i="31" s="1"/>
  <c r="F93" i="31"/>
  <c r="E93" i="31"/>
  <c r="D93" i="31"/>
  <c r="I92" i="31"/>
  <c r="K92" i="31" s="1"/>
  <c r="F92" i="31"/>
  <c r="E92" i="31"/>
  <c r="D92" i="31"/>
  <c r="I91" i="31"/>
  <c r="L91" i="31" s="1"/>
  <c r="F91" i="31"/>
  <c r="E91" i="31"/>
  <c r="D91" i="31"/>
  <c r="I90" i="31"/>
  <c r="K90" i="31"/>
  <c r="F90" i="31"/>
  <c r="E90" i="31"/>
  <c r="D90" i="31"/>
  <c r="I89" i="31"/>
  <c r="J89" i="31" s="1"/>
  <c r="F89" i="31"/>
  <c r="E89" i="31"/>
  <c r="D89" i="31"/>
  <c r="I88" i="31"/>
  <c r="L88" i="31"/>
  <c r="F88" i="31"/>
  <c r="E88" i="31"/>
  <c r="D88" i="31"/>
  <c r="I87" i="31"/>
  <c r="L87" i="31" s="1"/>
  <c r="F87" i="31"/>
  <c r="E87" i="31"/>
  <c r="D87" i="31"/>
  <c r="I86" i="31"/>
  <c r="L86" i="31" s="1"/>
  <c r="F86" i="31"/>
  <c r="E86" i="31"/>
  <c r="D86" i="31"/>
  <c r="I85" i="31"/>
  <c r="J85" i="31" s="1"/>
  <c r="F85" i="31"/>
  <c r="E85" i="31"/>
  <c r="D85" i="31"/>
  <c r="I84" i="31"/>
  <c r="F84" i="31"/>
  <c r="E84" i="31"/>
  <c r="D84" i="31"/>
  <c r="I83" i="31"/>
  <c r="L83" i="31"/>
  <c r="F83" i="31"/>
  <c r="E83" i="31"/>
  <c r="D83" i="31"/>
  <c r="I82" i="31"/>
  <c r="K82" i="31"/>
  <c r="F82" i="31"/>
  <c r="E82" i="31"/>
  <c r="D82" i="31"/>
  <c r="I81" i="31"/>
  <c r="L81" i="31" s="1"/>
  <c r="J81" i="31"/>
  <c r="F81" i="31"/>
  <c r="E81" i="31"/>
  <c r="D81" i="31"/>
  <c r="I80" i="31"/>
  <c r="L80" i="31"/>
  <c r="F80" i="31"/>
  <c r="E80" i="31"/>
  <c r="D80" i="31"/>
  <c r="I79" i="31"/>
  <c r="L79" i="31" s="1"/>
  <c r="F79" i="31"/>
  <c r="E79" i="31"/>
  <c r="D79" i="31"/>
  <c r="I78" i="31"/>
  <c r="K78" i="31"/>
  <c r="F78" i="31"/>
  <c r="E78" i="31"/>
  <c r="D78" i="31"/>
  <c r="I77" i="31"/>
  <c r="J77" i="31" s="1"/>
  <c r="F77" i="31"/>
  <c r="E77" i="31"/>
  <c r="D77" i="31"/>
  <c r="I76" i="31"/>
  <c r="K76" i="31" s="1"/>
  <c r="F76" i="31"/>
  <c r="E76" i="31"/>
  <c r="D76" i="31"/>
  <c r="F75" i="31"/>
  <c r="E75" i="31"/>
  <c r="D75" i="31"/>
  <c r="I74" i="31"/>
  <c r="K74" i="31" s="1"/>
  <c r="F74" i="31"/>
  <c r="E74" i="31"/>
  <c r="D74" i="31"/>
  <c r="F73" i="31"/>
  <c r="E73" i="31"/>
  <c r="D73" i="31"/>
  <c r="F72" i="31"/>
  <c r="E72" i="31"/>
  <c r="D72" i="31"/>
  <c r="F71" i="31"/>
  <c r="E71" i="31"/>
  <c r="D71" i="31"/>
  <c r="F70" i="31"/>
  <c r="E70" i="31"/>
  <c r="D70" i="31"/>
  <c r="I69" i="31"/>
  <c r="J69" i="31" s="1"/>
  <c r="F69" i="31"/>
  <c r="E69" i="31"/>
  <c r="D69" i="31"/>
  <c r="F68" i="31"/>
  <c r="E68" i="31"/>
  <c r="D68" i="31"/>
  <c r="F67" i="31"/>
  <c r="E67" i="31"/>
  <c r="D67" i="31"/>
  <c r="F66" i="31"/>
  <c r="E66" i="31"/>
  <c r="D66" i="31"/>
  <c r="F65" i="31"/>
  <c r="E65" i="31"/>
  <c r="D65" i="31"/>
  <c r="F64" i="31"/>
  <c r="E64" i="31"/>
  <c r="D64" i="31"/>
  <c r="F63" i="31"/>
  <c r="E63" i="31"/>
  <c r="D63" i="31"/>
  <c r="F62" i="31"/>
  <c r="E62" i="31"/>
  <c r="D62" i="31"/>
  <c r="F61" i="31"/>
  <c r="E61" i="31"/>
  <c r="D61" i="31"/>
  <c r="F60" i="31"/>
  <c r="E60" i="31"/>
  <c r="D60" i="31"/>
  <c r="F59" i="31"/>
  <c r="E59" i="31"/>
  <c r="D59" i="31"/>
  <c r="F58" i="31"/>
  <c r="E58" i="31"/>
  <c r="D58" i="31"/>
  <c r="F57" i="31"/>
  <c r="E57" i="31"/>
  <c r="D57" i="31"/>
  <c r="F56" i="31"/>
  <c r="E56" i="31"/>
  <c r="D56" i="31"/>
  <c r="F55" i="31"/>
  <c r="E55" i="31"/>
  <c r="D55" i="31"/>
  <c r="F54" i="31"/>
  <c r="E54" i="31"/>
  <c r="D54" i="31"/>
  <c r="F53" i="31"/>
  <c r="E53" i="31"/>
  <c r="D53" i="31"/>
  <c r="F52" i="31"/>
  <c r="E52" i="31"/>
  <c r="D52" i="31"/>
  <c r="F51" i="31"/>
  <c r="E51" i="31"/>
  <c r="D51" i="31"/>
  <c r="F50" i="31"/>
  <c r="E50" i="31"/>
  <c r="D50" i="31"/>
  <c r="F49" i="31"/>
  <c r="E49" i="31"/>
  <c r="D49" i="31"/>
  <c r="F48" i="31"/>
  <c r="E48" i="31"/>
  <c r="D48" i="31"/>
  <c r="F47" i="31"/>
  <c r="E47" i="31"/>
  <c r="D47" i="31"/>
  <c r="F46" i="31"/>
  <c r="E46" i="31"/>
  <c r="D46" i="31"/>
  <c r="F45" i="31"/>
  <c r="E45" i="31"/>
  <c r="D45" i="31"/>
  <c r="F44" i="31"/>
  <c r="E44" i="31"/>
  <c r="D44" i="31"/>
  <c r="F43" i="31"/>
  <c r="E43" i="31"/>
  <c r="D43" i="31"/>
  <c r="F42" i="31"/>
  <c r="E42" i="31"/>
  <c r="D42" i="31"/>
  <c r="F41" i="31"/>
  <c r="E41" i="31"/>
  <c r="D41" i="31"/>
  <c r="F40" i="31"/>
  <c r="E40" i="31"/>
  <c r="D40" i="31"/>
  <c r="F39" i="31"/>
  <c r="E39" i="31"/>
  <c r="D39" i="31"/>
  <c r="F38" i="31"/>
  <c r="E38" i="31"/>
  <c r="D38" i="31"/>
  <c r="F37" i="31"/>
  <c r="E37" i="31"/>
  <c r="D37" i="31"/>
  <c r="F36" i="31"/>
  <c r="E36" i="31"/>
  <c r="D36" i="31"/>
  <c r="F35" i="31"/>
  <c r="E35" i="31"/>
  <c r="D35" i="31"/>
  <c r="F34" i="31"/>
  <c r="E34" i="31"/>
  <c r="D34" i="31"/>
  <c r="F33" i="31"/>
  <c r="E33" i="31"/>
  <c r="D33" i="31"/>
  <c r="F32" i="31"/>
  <c r="E32" i="31"/>
  <c r="D32" i="31"/>
  <c r="F31" i="31"/>
  <c r="E31" i="31"/>
  <c r="D31" i="31"/>
  <c r="F30" i="31"/>
  <c r="E30" i="31"/>
  <c r="D30" i="31"/>
  <c r="F29" i="31"/>
  <c r="E29" i="31"/>
  <c r="D29" i="31"/>
  <c r="F28" i="31"/>
  <c r="E28" i="31"/>
  <c r="D28" i="31"/>
  <c r="F27" i="31"/>
  <c r="E27" i="31"/>
  <c r="D27" i="31"/>
  <c r="F26" i="31"/>
  <c r="E26" i="31"/>
  <c r="D26" i="31"/>
  <c r="F25" i="31"/>
  <c r="E25" i="31"/>
  <c r="D25" i="31"/>
  <c r="F24" i="31"/>
  <c r="E24" i="31"/>
  <c r="D24" i="31"/>
  <c r="F23" i="31"/>
  <c r="E23" i="31"/>
  <c r="D23" i="31"/>
  <c r="F22" i="31"/>
  <c r="E22" i="31"/>
  <c r="D22" i="31"/>
  <c r="F21" i="31"/>
  <c r="E21" i="31"/>
  <c r="D21" i="31"/>
  <c r="F20" i="31"/>
  <c r="E20" i="31"/>
  <c r="D20" i="31"/>
  <c r="F19" i="31"/>
  <c r="E19" i="31"/>
  <c r="D19" i="31"/>
  <c r="F18" i="31"/>
  <c r="E18" i="31"/>
  <c r="D18" i="31"/>
  <c r="F16" i="31"/>
  <c r="E16" i="31"/>
  <c r="D16" i="31"/>
  <c r="F15" i="31"/>
  <c r="E15" i="31"/>
  <c r="D15" i="31"/>
  <c r="F14" i="31"/>
  <c r="E14" i="31"/>
  <c r="D14" i="31"/>
  <c r="F13" i="31"/>
  <c r="E13" i="31"/>
  <c r="F12" i="31"/>
  <c r="E12" i="31"/>
  <c r="F11" i="31"/>
  <c r="E11" i="31"/>
  <c r="F2" i="31"/>
  <c r="L2" i="31" s="1"/>
  <c r="E2" i="31"/>
  <c r="K2" i="31" s="1"/>
  <c r="D2" i="31"/>
  <c r="J2" i="31"/>
  <c r="K19" i="30"/>
  <c r="J19" i="30"/>
  <c r="I19" i="30"/>
  <c r="K18" i="30"/>
  <c r="J18" i="30"/>
  <c r="I18" i="30"/>
  <c r="K17" i="30"/>
  <c r="J17" i="30"/>
  <c r="I17" i="30"/>
  <c r="K16" i="30"/>
  <c r="J16" i="30"/>
  <c r="I16" i="30"/>
  <c r="K15" i="30"/>
  <c r="J15" i="30"/>
  <c r="I15" i="30"/>
  <c r="K14" i="30"/>
  <c r="J14" i="30"/>
  <c r="I14" i="30"/>
  <c r="K13" i="30"/>
  <c r="J13" i="30"/>
  <c r="I13" i="30"/>
  <c r="K12" i="30"/>
  <c r="J12" i="30"/>
  <c r="I12" i="30"/>
  <c r="K11" i="30"/>
  <c r="J11" i="30"/>
  <c r="I11" i="30"/>
  <c r="K10" i="30"/>
  <c r="J10" i="30"/>
  <c r="I10" i="30"/>
  <c r="K9" i="30"/>
  <c r="J9" i="30"/>
  <c r="I9" i="30"/>
  <c r="K8" i="30"/>
  <c r="J8" i="30"/>
  <c r="I8" i="30"/>
  <c r="K7" i="30"/>
  <c r="J7" i="30"/>
  <c r="I7" i="30"/>
  <c r="K6" i="30"/>
  <c r="J6" i="30"/>
  <c r="I6" i="30"/>
  <c r="K5" i="30"/>
  <c r="J5" i="30"/>
  <c r="I5" i="30"/>
  <c r="K4" i="30"/>
  <c r="J4" i="30"/>
  <c r="I4" i="30"/>
  <c r="K3" i="30"/>
  <c r="J3" i="30"/>
  <c r="I3" i="30"/>
  <c r="K2" i="30"/>
  <c r="F9" i="31"/>
  <c r="J2" i="30"/>
  <c r="E9" i="31"/>
  <c r="I2" i="30"/>
  <c r="R2" i="11"/>
  <c r="AK2" i="11"/>
  <c r="Q2" i="11"/>
  <c r="AJ2" i="11"/>
  <c r="P2" i="11"/>
  <c r="AI2" i="11" s="1"/>
  <c r="O2" i="11"/>
  <c r="AH2" i="11"/>
  <c r="N2" i="11"/>
  <c r="AG2" i="11"/>
  <c r="M2" i="11"/>
  <c r="AF2" i="11"/>
  <c r="L2" i="11"/>
  <c r="AE2" i="11" s="1"/>
  <c r="K2" i="11"/>
  <c r="AD2" i="11"/>
  <c r="J2" i="11"/>
  <c r="AC2" i="11"/>
  <c r="I2" i="11"/>
  <c r="AB2" i="11"/>
  <c r="H2" i="11"/>
  <c r="AA2" i="11" s="1"/>
  <c r="G2" i="11"/>
  <c r="Z2" i="11"/>
  <c r="F2" i="11"/>
  <c r="Y2" i="11"/>
  <c r="E2" i="11"/>
  <c r="X2" i="11"/>
  <c r="D2" i="11"/>
  <c r="W2" i="11" s="1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AM18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D4" i="11"/>
  <c r="U60" i="9"/>
  <c r="A60" i="9"/>
  <c r="A61" i="9" s="1"/>
  <c r="A62" i="9"/>
  <c r="A63" i="9"/>
  <c r="A64" i="9" s="1"/>
  <c r="A65" i="9" s="1"/>
  <c r="A66" i="9" s="1"/>
  <c r="A67" i="9" s="1"/>
  <c r="A68" i="9"/>
  <c r="A69" i="9"/>
  <c r="A70" i="9"/>
  <c r="A71" i="9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U59" i="9"/>
  <c r="U58" i="9"/>
  <c r="AE58" i="9" s="1"/>
  <c r="U57" i="9"/>
  <c r="U56" i="9"/>
  <c r="X56" i="9" s="1"/>
  <c r="U55" i="9"/>
  <c r="U54" i="9"/>
  <c r="Y54" i="9" s="1"/>
  <c r="U53" i="9"/>
  <c r="U52" i="9"/>
  <c r="AB52" i="9" s="1"/>
  <c r="U51" i="9"/>
  <c r="U50" i="9"/>
  <c r="U49" i="9"/>
  <c r="U48" i="9"/>
  <c r="AB48" i="9" s="1"/>
  <c r="U47" i="9"/>
  <c r="U46" i="9"/>
  <c r="AJ46" i="9" s="1"/>
  <c r="U45" i="9"/>
  <c r="AD45" i="9" s="1"/>
  <c r="U44" i="9"/>
  <c r="AA44" i="9" s="1"/>
  <c r="U43" i="9"/>
  <c r="U42" i="9"/>
  <c r="U41" i="9"/>
  <c r="U40" i="9"/>
  <c r="U39" i="9"/>
  <c r="AH39" i="9" s="1"/>
  <c r="U38" i="9"/>
  <c r="AK38" i="9" s="1"/>
  <c r="U37" i="9"/>
  <c r="AB37" i="9" s="1"/>
  <c r="U36" i="9"/>
  <c r="AI36" i="9" s="1"/>
  <c r="U35" i="9"/>
  <c r="U34" i="9"/>
  <c r="U33" i="9"/>
  <c r="I33" i="31"/>
  <c r="U32" i="9"/>
  <c r="AH32" i="9" s="1"/>
  <c r="U31" i="9"/>
  <c r="AJ31" i="9" s="1"/>
  <c r="U30" i="9"/>
  <c r="AH30" i="9" s="1"/>
  <c r="U29" i="9"/>
  <c r="Z29" i="9" s="1"/>
  <c r="U28" i="9"/>
  <c r="Y28" i="9" s="1"/>
  <c r="U27" i="9"/>
  <c r="U26" i="9"/>
  <c r="V26" i="9" s="1"/>
  <c r="U25" i="9"/>
  <c r="AA25" i="9" s="1"/>
  <c r="U24" i="9"/>
  <c r="AB24" i="9" s="1"/>
  <c r="U23" i="9"/>
  <c r="AJ23" i="9" s="1"/>
  <c r="U22" i="9"/>
  <c r="V22" i="11" s="1"/>
  <c r="AF22" i="11" s="1"/>
  <c r="U21" i="9"/>
  <c r="X21" i="9" s="1"/>
  <c r="U20" i="9"/>
  <c r="AA20" i="9" s="1"/>
  <c r="U19" i="9"/>
  <c r="U18" i="9"/>
  <c r="AJ18" i="9" s="1"/>
  <c r="U17" i="9"/>
  <c r="AK17" i="9" s="1"/>
  <c r="U16" i="9"/>
  <c r="U15" i="9"/>
  <c r="AE15" i="9" s="1"/>
  <c r="AG15" i="9"/>
  <c r="U14" i="9"/>
  <c r="Y14" i="9" s="1"/>
  <c r="U13" i="9"/>
  <c r="Y13" i="9" s="1"/>
  <c r="U12" i="9"/>
  <c r="U11" i="9"/>
  <c r="Y11" i="9" s="1"/>
  <c r="U10" i="9"/>
  <c r="U9" i="9"/>
  <c r="AJ9" i="9" s="1"/>
  <c r="U8" i="9"/>
  <c r="X8" i="9" s="1"/>
  <c r="U7" i="9"/>
  <c r="U6" i="9"/>
  <c r="U5" i="9"/>
  <c r="U4" i="9"/>
  <c r="U3" i="9"/>
  <c r="AE3" i="9" s="1"/>
  <c r="S2" i="9"/>
  <c r="AK2" i="9"/>
  <c r="R2" i="9"/>
  <c r="AJ2" i="9"/>
  <c r="Q2" i="9"/>
  <c r="AI2" i="9" s="1"/>
  <c r="P2" i="9"/>
  <c r="AH2" i="9" s="1"/>
  <c r="O2" i="9"/>
  <c r="AG2" i="9"/>
  <c r="N2" i="9"/>
  <c r="AF2" i="9"/>
  <c r="M2" i="9"/>
  <c r="AE2" i="9" s="1"/>
  <c r="L2" i="9"/>
  <c r="AD2" i="9" s="1"/>
  <c r="K2" i="9"/>
  <c r="AC2" i="9"/>
  <c r="J2" i="9"/>
  <c r="AB2" i="9"/>
  <c r="I2" i="9"/>
  <c r="AA2" i="9" s="1"/>
  <c r="H2" i="9"/>
  <c r="Z2" i="9"/>
  <c r="G2" i="9"/>
  <c r="Y2" i="9" s="1"/>
  <c r="F2" i="9"/>
  <c r="X2" i="9"/>
  <c r="E2" i="9"/>
  <c r="W2" i="9" s="1"/>
  <c r="D2" i="9"/>
  <c r="V2" i="9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AJ12" i="8"/>
  <c r="S69" i="9"/>
  <c r="AI12" i="8"/>
  <c r="R69" i="9"/>
  <c r="AH12" i="8"/>
  <c r="Q69" i="9"/>
  <c r="AG12" i="8"/>
  <c r="P69" i="9"/>
  <c r="AF12" i="8"/>
  <c r="O69" i="9"/>
  <c r="AE12" i="8"/>
  <c r="N69" i="9"/>
  <c r="AD12" i="8"/>
  <c r="M69" i="9"/>
  <c r="AC12" i="8"/>
  <c r="L69" i="9"/>
  <c r="AB12" i="8"/>
  <c r="K69" i="9"/>
  <c r="AA12" i="8"/>
  <c r="J69" i="9"/>
  <c r="Z12" i="8"/>
  <c r="I69" i="9"/>
  <c r="Y12" i="8"/>
  <c r="H69" i="9"/>
  <c r="X12" i="8"/>
  <c r="G69" i="9"/>
  <c r="W12" i="8"/>
  <c r="F69" i="9"/>
  <c r="V12" i="8"/>
  <c r="E69" i="9"/>
  <c r="U12" i="8"/>
  <c r="D69" i="9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AJ8" i="8"/>
  <c r="AI8" i="8"/>
  <c r="AH8" i="8"/>
  <c r="AG8" i="8"/>
  <c r="AF8" i="8"/>
  <c r="AE8" i="8"/>
  <c r="AD8" i="8"/>
  <c r="AC8" i="8"/>
  <c r="L44" i="9" s="1"/>
  <c r="AB8" i="8"/>
  <c r="AA8" i="8"/>
  <c r="Z8" i="8"/>
  <c r="Y8" i="8"/>
  <c r="W8" i="8"/>
  <c r="V8" i="8"/>
  <c r="U8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AJ6" i="8"/>
  <c r="AI6" i="8"/>
  <c r="AH6" i="8"/>
  <c r="AG6" i="8"/>
  <c r="AF6" i="8"/>
  <c r="AE6" i="8"/>
  <c r="AD6" i="8"/>
  <c r="AC6" i="8"/>
  <c r="AB6" i="8"/>
  <c r="AA6" i="8"/>
  <c r="Y6" i="8"/>
  <c r="W6" i="8"/>
  <c r="V6" i="8"/>
  <c r="U6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AJ4" i="8"/>
  <c r="AI4" i="8"/>
  <c r="AH4" i="8"/>
  <c r="AG4" i="8"/>
  <c r="AF4" i="8"/>
  <c r="AE4" i="8"/>
  <c r="AD4" i="8"/>
  <c r="AC4" i="8"/>
  <c r="AB4" i="8"/>
  <c r="AA4" i="8"/>
  <c r="Y4" i="8"/>
  <c r="X4" i="8"/>
  <c r="W4" i="8"/>
  <c r="V4" i="8"/>
  <c r="U4" i="8"/>
  <c r="D18" i="9" s="1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BW4" i="100"/>
  <c r="BV4" i="100"/>
  <c r="BU4" i="100"/>
  <c r="BT4" i="100"/>
  <c r="BS4" i="100"/>
  <c r="BR4" i="100"/>
  <c r="BQ4" i="100"/>
  <c r="BP4" i="100"/>
  <c r="BO4" i="100"/>
  <c r="BN4" i="100"/>
  <c r="BM4" i="100"/>
  <c r="BL4" i="100"/>
  <c r="BK4" i="100"/>
  <c r="BJ4" i="100"/>
  <c r="BH4" i="100"/>
  <c r="BG4" i="100"/>
  <c r="BF4" i="100"/>
  <c r="BE4" i="100"/>
  <c r="BC4" i="100"/>
  <c r="BB4" i="100"/>
  <c r="BA4" i="100"/>
  <c r="AZ4" i="100"/>
  <c r="AY4" i="100"/>
  <c r="AX4" i="100"/>
  <c r="AW4" i="100"/>
  <c r="AV4" i="100"/>
  <c r="AU4" i="100"/>
  <c r="AT4" i="100"/>
  <c r="AS4" i="100"/>
  <c r="AR4" i="100"/>
  <c r="AQ4" i="100"/>
  <c r="AO4" i="100"/>
  <c r="AN4" i="100"/>
  <c r="AM4" i="100"/>
  <c r="AL4" i="100"/>
  <c r="AJ4" i="100"/>
  <c r="AI4" i="100"/>
  <c r="AH4" i="100"/>
  <c r="AG4" i="100"/>
  <c r="AF4" i="100"/>
  <c r="AE4" i="100"/>
  <c r="AD4" i="100"/>
  <c r="AC4" i="100"/>
  <c r="AB4" i="100"/>
  <c r="AA4" i="100"/>
  <c r="Z4" i="100"/>
  <c r="Y4" i="100"/>
  <c r="X4" i="100"/>
  <c r="W4" i="100"/>
  <c r="V4" i="100"/>
  <c r="T4" i="100"/>
  <c r="S4" i="100"/>
  <c r="R4" i="100"/>
  <c r="Q4" i="100"/>
  <c r="P4" i="100"/>
  <c r="O4" i="100"/>
  <c r="N4" i="100"/>
  <c r="M4" i="100"/>
  <c r="L4" i="100"/>
  <c r="K4" i="100"/>
  <c r="J4" i="100"/>
  <c r="I4" i="100"/>
  <c r="H4" i="100"/>
  <c r="G4" i="100"/>
  <c r="F4" i="100"/>
  <c r="E4" i="100"/>
  <c r="BW4" i="101"/>
  <c r="BV4" i="101"/>
  <c r="BU4" i="101"/>
  <c r="BT4" i="101"/>
  <c r="BS4" i="101"/>
  <c r="BR4" i="101"/>
  <c r="BQ4" i="101"/>
  <c r="BP4" i="101"/>
  <c r="BO4" i="101"/>
  <c r="BN4" i="101"/>
  <c r="BM4" i="101"/>
  <c r="BL4" i="101"/>
  <c r="BK4" i="101"/>
  <c r="BJ4" i="101"/>
  <c r="BH4" i="101"/>
  <c r="BG4" i="101"/>
  <c r="BF4" i="101"/>
  <c r="BE4" i="101"/>
  <c r="BC4" i="101"/>
  <c r="BB4" i="101"/>
  <c r="BA4" i="101"/>
  <c r="AZ4" i="101"/>
  <c r="AY4" i="101"/>
  <c r="AX4" i="101"/>
  <c r="AW4" i="101"/>
  <c r="AV4" i="101"/>
  <c r="AU4" i="101"/>
  <c r="AT4" i="101"/>
  <c r="AS4" i="101"/>
  <c r="AR4" i="101"/>
  <c r="AQ4" i="101"/>
  <c r="AO4" i="101"/>
  <c r="AN4" i="101"/>
  <c r="AM4" i="101"/>
  <c r="AL4" i="101"/>
  <c r="AJ4" i="101"/>
  <c r="AI4" i="101"/>
  <c r="AH4" i="101"/>
  <c r="AG4" i="101"/>
  <c r="AF4" i="101"/>
  <c r="AE4" i="101"/>
  <c r="AD4" i="101"/>
  <c r="AC4" i="101"/>
  <c r="AB4" i="101"/>
  <c r="AA4" i="101"/>
  <c r="Z4" i="101"/>
  <c r="Y4" i="101"/>
  <c r="X4" i="101"/>
  <c r="W4" i="101"/>
  <c r="V4" i="101"/>
  <c r="T4" i="101"/>
  <c r="S4" i="101"/>
  <c r="R4" i="101"/>
  <c r="Q4" i="101"/>
  <c r="P4" i="101"/>
  <c r="O4" i="101"/>
  <c r="N4" i="101"/>
  <c r="M4" i="101"/>
  <c r="L4" i="101"/>
  <c r="K4" i="101"/>
  <c r="J4" i="101"/>
  <c r="I4" i="101"/>
  <c r="H4" i="101"/>
  <c r="G4" i="101"/>
  <c r="F4" i="101"/>
  <c r="E4" i="101"/>
  <c r="BW4" i="99"/>
  <c r="BV4" i="99"/>
  <c r="BU4" i="99"/>
  <c r="BT4" i="99"/>
  <c r="BS4" i="99"/>
  <c r="BR4" i="99"/>
  <c r="BQ4" i="99"/>
  <c r="BP4" i="99"/>
  <c r="BO4" i="99"/>
  <c r="BN4" i="99"/>
  <c r="BM4" i="99"/>
  <c r="BL4" i="99"/>
  <c r="BK4" i="99"/>
  <c r="BJ4" i="99"/>
  <c r="BH4" i="99"/>
  <c r="BG4" i="99"/>
  <c r="BF4" i="99"/>
  <c r="BE4" i="99"/>
  <c r="BC4" i="99"/>
  <c r="BB4" i="99"/>
  <c r="BA4" i="99"/>
  <c r="AZ4" i="99"/>
  <c r="AY4" i="99"/>
  <c r="AX4" i="99"/>
  <c r="AW4" i="99"/>
  <c r="AV4" i="99"/>
  <c r="AU4" i="99"/>
  <c r="AT4" i="99"/>
  <c r="AS4" i="99"/>
  <c r="AR4" i="99"/>
  <c r="AQ4" i="99"/>
  <c r="AO4" i="99"/>
  <c r="AN4" i="99"/>
  <c r="AM4" i="99"/>
  <c r="AL4" i="99"/>
  <c r="AJ4" i="99"/>
  <c r="AI4" i="99"/>
  <c r="AH4" i="99"/>
  <c r="AG4" i="99"/>
  <c r="AF4" i="99"/>
  <c r="AE4" i="99"/>
  <c r="AD4" i="99"/>
  <c r="AC4" i="99"/>
  <c r="AB4" i="99"/>
  <c r="AA4" i="99"/>
  <c r="Z4" i="99"/>
  <c r="Y4" i="99"/>
  <c r="X4" i="99"/>
  <c r="W4" i="99"/>
  <c r="V4" i="99"/>
  <c r="T4" i="99"/>
  <c r="S4" i="99"/>
  <c r="R4" i="99"/>
  <c r="Q4" i="99"/>
  <c r="P4" i="99"/>
  <c r="O4" i="99"/>
  <c r="N4" i="99"/>
  <c r="M4" i="99"/>
  <c r="L4" i="99"/>
  <c r="K4" i="99"/>
  <c r="J4" i="99"/>
  <c r="I4" i="99"/>
  <c r="H4" i="99"/>
  <c r="G4" i="99"/>
  <c r="F4" i="99"/>
  <c r="E4" i="99"/>
  <c r="BW4" i="98"/>
  <c r="BV4" i="98"/>
  <c r="BU4" i="98"/>
  <c r="BT4" i="98"/>
  <c r="BS4" i="98"/>
  <c r="BR4" i="98"/>
  <c r="BQ4" i="98"/>
  <c r="BP4" i="98"/>
  <c r="BO4" i="98"/>
  <c r="BN4" i="98"/>
  <c r="BM4" i="98"/>
  <c r="BL4" i="98"/>
  <c r="BK4" i="98"/>
  <c r="BJ4" i="98"/>
  <c r="BH4" i="98"/>
  <c r="BG4" i="98"/>
  <c r="BF4" i="98"/>
  <c r="BE4" i="98"/>
  <c r="BC4" i="98"/>
  <c r="BB4" i="98"/>
  <c r="BA4" i="98"/>
  <c r="AZ4" i="98"/>
  <c r="AY4" i="98"/>
  <c r="AX4" i="98"/>
  <c r="AW4" i="98"/>
  <c r="AV4" i="98"/>
  <c r="AU4" i="98"/>
  <c r="AT4" i="98"/>
  <c r="AS4" i="98"/>
  <c r="AR4" i="98"/>
  <c r="AQ4" i="98"/>
  <c r="AO4" i="98"/>
  <c r="AN4" i="98"/>
  <c r="AM4" i="98"/>
  <c r="AL4" i="98"/>
  <c r="AJ4" i="98"/>
  <c r="AI4" i="98"/>
  <c r="AH4" i="98"/>
  <c r="AG4" i="98"/>
  <c r="AF4" i="98"/>
  <c r="AE4" i="98"/>
  <c r="AD4" i="98"/>
  <c r="AC4" i="98"/>
  <c r="AB4" i="98"/>
  <c r="AA4" i="98"/>
  <c r="Z4" i="98"/>
  <c r="Y4" i="98"/>
  <c r="X4" i="98"/>
  <c r="W4" i="98"/>
  <c r="V4" i="98"/>
  <c r="T4" i="98"/>
  <c r="S4" i="98"/>
  <c r="R4" i="98"/>
  <c r="Q4" i="98"/>
  <c r="P4" i="98"/>
  <c r="O4" i="98"/>
  <c r="N4" i="98"/>
  <c r="M4" i="98"/>
  <c r="L4" i="98"/>
  <c r="K4" i="98"/>
  <c r="J4" i="98"/>
  <c r="I4" i="98"/>
  <c r="H4" i="98"/>
  <c r="G4" i="98"/>
  <c r="F4" i="98"/>
  <c r="E4" i="98"/>
  <c r="BW4" i="97"/>
  <c r="BV4" i="97"/>
  <c r="BU4" i="97"/>
  <c r="BT4" i="97"/>
  <c r="BS4" i="97"/>
  <c r="BR4" i="97"/>
  <c r="BQ4" i="97"/>
  <c r="BP4" i="97"/>
  <c r="BO4" i="97"/>
  <c r="BN4" i="97"/>
  <c r="BM4" i="97"/>
  <c r="BL4" i="97"/>
  <c r="BK4" i="97"/>
  <c r="BJ4" i="97"/>
  <c r="BH4" i="97"/>
  <c r="BG4" i="97"/>
  <c r="BF4" i="97"/>
  <c r="BE4" i="97"/>
  <c r="BC4" i="97"/>
  <c r="BB4" i="97"/>
  <c r="BA4" i="97"/>
  <c r="AZ4" i="97"/>
  <c r="AY4" i="97"/>
  <c r="AX4" i="97"/>
  <c r="AW4" i="97"/>
  <c r="AV4" i="97"/>
  <c r="AU4" i="97"/>
  <c r="AT4" i="97"/>
  <c r="AS4" i="97"/>
  <c r="AR4" i="97"/>
  <c r="AQ4" i="97"/>
  <c r="AO4" i="97"/>
  <c r="AN4" i="97"/>
  <c r="AM4" i="97"/>
  <c r="AL4" i="97"/>
  <c r="AJ4" i="97"/>
  <c r="AI4" i="97"/>
  <c r="AH4" i="97"/>
  <c r="AG4" i="97"/>
  <c r="AF4" i="97"/>
  <c r="AE4" i="97"/>
  <c r="AD4" i="97"/>
  <c r="AC4" i="97"/>
  <c r="AB4" i="97"/>
  <c r="AA4" i="97"/>
  <c r="Z4" i="97"/>
  <c r="Y4" i="97"/>
  <c r="X4" i="97"/>
  <c r="W4" i="97"/>
  <c r="V4" i="97"/>
  <c r="T4" i="97"/>
  <c r="S4" i="97"/>
  <c r="R4" i="97"/>
  <c r="Q4" i="97"/>
  <c r="P4" i="97"/>
  <c r="O4" i="97"/>
  <c r="N4" i="97"/>
  <c r="M4" i="97"/>
  <c r="L4" i="97"/>
  <c r="K4" i="97"/>
  <c r="J4" i="97"/>
  <c r="I4" i="97"/>
  <c r="H4" i="97"/>
  <c r="G4" i="97"/>
  <c r="F4" i="97"/>
  <c r="E4" i="97"/>
  <c r="BW4" i="96"/>
  <c r="BV4" i="96"/>
  <c r="BU4" i="96"/>
  <c r="BT4" i="96"/>
  <c r="BS4" i="96"/>
  <c r="BR4" i="96"/>
  <c r="BQ4" i="96"/>
  <c r="BP4" i="96"/>
  <c r="BO4" i="96"/>
  <c r="BN4" i="96"/>
  <c r="BM4" i="96"/>
  <c r="BL4" i="96"/>
  <c r="BK4" i="96"/>
  <c r="BJ4" i="96"/>
  <c r="BH4" i="96"/>
  <c r="BG4" i="96"/>
  <c r="BF4" i="96"/>
  <c r="BE4" i="96"/>
  <c r="BC4" i="96"/>
  <c r="BB4" i="96"/>
  <c r="BA4" i="96"/>
  <c r="AZ4" i="96"/>
  <c r="AY4" i="96"/>
  <c r="AX4" i="96"/>
  <c r="AW4" i="96"/>
  <c r="AV4" i="96"/>
  <c r="AU4" i="96"/>
  <c r="AT4" i="96"/>
  <c r="AS4" i="96"/>
  <c r="AQ4" i="96"/>
  <c r="AO4" i="96"/>
  <c r="AN4" i="96"/>
  <c r="AM4" i="96"/>
  <c r="AL4" i="96"/>
  <c r="AJ4" i="96"/>
  <c r="AI4" i="96"/>
  <c r="AH4" i="96"/>
  <c r="AG4" i="96"/>
  <c r="AF4" i="96"/>
  <c r="AE4" i="96"/>
  <c r="AD4" i="96"/>
  <c r="AC4" i="96"/>
  <c r="AB4" i="96"/>
  <c r="AA4" i="96"/>
  <c r="Z4" i="96"/>
  <c r="Y4" i="96"/>
  <c r="X4" i="96"/>
  <c r="W4" i="96"/>
  <c r="V4" i="96"/>
  <c r="T4" i="96"/>
  <c r="S4" i="96"/>
  <c r="R4" i="96"/>
  <c r="Q4" i="96"/>
  <c r="P4" i="96"/>
  <c r="O4" i="96"/>
  <c r="N4" i="96"/>
  <c r="M4" i="96"/>
  <c r="L4" i="96"/>
  <c r="K4" i="96"/>
  <c r="J4" i="96"/>
  <c r="I4" i="96"/>
  <c r="H4" i="96"/>
  <c r="G4" i="96"/>
  <c r="F4" i="96"/>
  <c r="E4" i="96"/>
  <c r="BW4" i="95"/>
  <c r="BV4" i="95"/>
  <c r="BU4" i="95"/>
  <c r="BT4" i="95"/>
  <c r="BS4" i="95"/>
  <c r="BR4" i="95"/>
  <c r="BQ4" i="95"/>
  <c r="BP4" i="95"/>
  <c r="BO4" i="95"/>
  <c r="BN4" i="95"/>
  <c r="BM4" i="95"/>
  <c r="BL4" i="95"/>
  <c r="BK4" i="95"/>
  <c r="BJ4" i="95"/>
  <c r="BH4" i="95"/>
  <c r="BG4" i="95"/>
  <c r="BF4" i="95"/>
  <c r="BE4" i="95"/>
  <c r="BC4" i="95"/>
  <c r="BB4" i="95"/>
  <c r="BA4" i="95"/>
  <c r="AZ4" i="95"/>
  <c r="AY4" i="95"/>
  <c r="AX4" i="95"/>
  <c r="AW4" i="95"/>
  <c r="AV4" i="95"/>
  <c r="AU4" i="95"/>
  <c r="AT4" i="95"/>
  <c r="AS4" i="95"/>
  <c r="AR4" i="95"/>
  <c r="AQ4" i="95"/>
  <c r="AO4" i="95"/>
  <c r="AN4" i="95"/>
  <c r="AM4" i="95"/>
  <c r="AL4" i="95"/>
  <c r="AJ4" i="95"/>
  <c r="AI4" i="95"/>
  <c r="AH4" i="95"/>
  <c r="AG4" i="95"/>
  <c r="AF4" i="95"/>
  <c r="AE4" i="95"/>
  <c r="AD4" i="95"/>
  <c r="AC4" i="95"/>
  <c r="AB4" i="95"/>
  <c r="AA4" i="95"/>
  <c r="Z4" i="95"/>
  <c r="Y4" i="95"/>
  <c r="X4" i="95"/>
  <c r="W4" i="95"/>
  <c r="V4" i="95"/>
  <c r="T4" i="95"/>
  <c r="S4" i="95"/>
  <c r="R4" i="95"/>
  <c r="Q4" i="95"/>
  <c r="P4" i="95"/>
  <c r="O4" i="95"/>
  <c r="N4" i="95"/>
  <c r="M4" i="95"/>
  <c r="L4" i="95"/>
  <c r="K4" i="95"/>
  <c r="J4" i="95"/>
  <c r="I4" i="95"/>
  <c r="H4" i="95"/>
  <c r="G4" i="95"/>
  <c r="F4" i="95"/>
  <c r="E4" i="95"/>
  <c r="BW4" i="94"/>
  <c r="BV4" i="94"/>
  <c r="BU4" i="94"/>
  <c r="BT4" i="94"/>
  <c r="BS4" i="94"/>
  <c r="BR4" i="94"/>
  <c r="BQ4" i="94"/>
  <c r="BP4" i="94"/>
  <c r="BO4" i="94"/>
  <c r="BN4" i="94"/>
  <c r="BM4" i="94"/>
  <c r="BL4" i="94"/>
  <c r="BK4" i="94"/>
  <c r="BJ4" i="94"/>
  <c r="BH4" i="94"/>
  <c r="BG4" i="94"/>
  <c r="BF4" i="94"/>
  <c r="BE4" i="94"/>
  <c r="BC4" i="94"/>
  <c r="BB4" i="94"/>
  <c r="BA4" i="94"/>
  <c r="AZ4" i="94"/>
  <c r="AY4" i="94"/>
  <c r="AX4" i="94"/>
  <c r="AW4" i="94"/>
  <c r="AV4" i="94"/>
  <c r="AU4" i="94"/>
  <c r="AT4" i="94"/>
  <c r="AS4" i="94"/>
  <c r="AR4" i="94"/>
  <c r="AQ4" i="94"/>
  <c r="AO4" i="94"/>
  <c r="AN4" i="94"/>
  <c r="AM4" i="94"/>
  <c r="AL4" i="94"/>
  <c r="AJ4" i="94"/>
  <c r="AI4" i="94"/>
  <c r="AH4" i="94"/>
  <c r="AG4" i="94"/>
  <c r="AF4" i="94"/>
  <c r="AE4" i="94"/>
  <c r="AD4" i="94"/>
  <c r="AC4" i="94"/>
  <c r="AB4" i="94"/>
  <c r="AA4" i="94"/>
  <c r="Z4" i="94"/>
  <c r="Y4" i="94"/>
  <c r="X4" i="94"/>
  <c r="W4" i="94"/>
  <c r="V4" i="94"/>
  <c r="T4" i="94"/>
  <c r="S4" i="94"/>
  <c r="R4" i="94"/>
  <c r="Q4" i="94"/>
  <c r="P4" i="94"/>
  <c r="O4" i="94"/>
  <c r="N4" i="94"/>
  <c r="M4" i="94"/>
  <c r="L4" i="94"/>
  <c r="K4" i="94"/>
  <c r="J4" i="94"/>
  <c r="I4" i="94"/>
  <c r="H4" i="94"/>
  <c r="G4" i="94"/>
  <c r="F4" i="94"/>
  <c r="E4" i="94"/>
  <c r="BW4" i="93"/>
  <c r="BV4" i="93"/>
  <c r="BU4" i="93"/>
  <c r="BT4" i="93"/>
  <c r="BS4" i="93"/>
  <c r="BR4" i="93"/>
  <c r="BQ4" i="93"/>
  <c r="BP4" i="93"/>
  <c r="BO4" i="93"/>
  <c r="BN4" i="93"/>
  <c r="BM4" i="93"/>
  <c r="BL4" i="93"/>
  <c r="BK4" i="93"/>
  <c r="BJ4" i="93"/>
  <c r="BH4" i="93"/>
  <c r="BG4" i="93"/>
  <c r="BF4" i="93"/>
  <c r="BE4" i="93"/>
  <c r="BC4" i="93"/>
  <c r="BB4" i="93"/>
  <c r="BA4" i="93"/>
  <c r="AZ4" i="93"/>
  <c r="AY4" i="93"/>
  <c r="AX4" i="93"/>
  <c r="AW4" i="93"/>
  <c r="AV4" i="93"/>
  <c r="AU4" i="93"/>
  <c r="AT4" i="93"/>
  <c r="AS4" i="93"/>
  <c r="AR4" i="93"/>
  <c r="AQ4" i="93"/>
  <c r="AO4" i="93"/>
  <c r="AN4" i="93"/>
  <c r="AM4" i="93"/>
  <c r="AL4" i="93"/>
  <c r="AJ4" i="93"/>
  <c r="AI4" i="93"/>
  <c r="AH4" i="93"/>
  <c r="AG4" i="93"/>
  <c r="AF4" i="93"/>
  <c r="AE4" i="93"/>
  <c r="AD4" i="93"/>
  <c r="AC4" i="93"/>
  <c r="AB4" i="93"/>
  <c r="AA4" i="93"/>
  <c r="Z4" i="93"/>
  <c r="Y4" i="93"/>
  <c r="X4" i="93"/>
  <c r="W4" i="93"/>
  <c r="V4" i="93"/>
  <c r="T4" i="93"/>
  <c r="S4" i="93"/>
  <c r="R4" i="93"/>
  <c r="Q4" i="93"/>
  <c r="P4" i="93"/>
  <c r="O4" i="93"/>
  <c r="N4" i="93"/>
  <c r="M4" i="93"/>
  <c r="L4" i="93"/>
  <c r="K4" i="93"/>
  <c r="J4" i="93"/>
  <c r="I4" i="93"/>
  <c r="H4" i="93"/>
  <c r="G4" i="93"/>
  <c r="F4" i="93"/>
  <c r="E4" i="93"/>
  <c r="BW4" i="92"/>
  <c r="BV4" i="92"/>
  <c r="BU4" i="92"/>
  <c r="BT4" i="92"/>
  <c r="BS4" i="92"/>
  <c r="BR4" i="92"/>
  <c r="BQ4" i="92"/>
  <c r="BP4" i="92"/>
  <c r="BO4" i="92"/>
  <c r="BN4" i="92"/>
  <c r="BM4" i="92"/>
  <c r="BL4" i="92"/>
  <c r="BK4" i="92"/>
  <c r="BJ4" i="92"/>
  <c r="BH4" i="92"/>
  <c r="BG4" i="92"/>
  <c r="BF4" i="92"/>
  <c r="BE4" i="92"/>
  <c r="BC4" i="92"/>
  <c r="BB4" i="92"/>
  <c r="BA4" i="92"/>
  <c r="AZ4" i="92"/>
  <c r="AY4" i="92"/>
  <c r="AX4" i="92"/>
  <c r="AW4" i="92"/>
  <c r="AV4" i="92"/>
  <c r="AU4" i="92"/>
  <c r="AT4" i="92"/>
  <c r="AS4" i="92"/>
  <c r="AR4" i="92"/>
  <c r="AQ4" i="92"/>
  <c r="AO4" i="92"/>
  <c r="AN4" i="92"/>
  <c r="AM4" i="92"/>
  <c r="AL4" i="92"/>
  <c r="AJ4" i="92"/>
  <c r="AI4" i="92"/>
  <c r="AH4" i="92"/>
  <c r="AG4" i="92"/>
  <c r="AF4" i="92"/>
  <c r="AE4" i="92"/>
  <c r="AD4" i="92"/>
  <c r="AC4" i="92"/>
  <c r="AB4" i="92"/>
  <c r="AA4" i="92"/>
  <c r="Z4" i="92"/>
  <c r="Y4" i="92"/>
  <c r="X4" i="92"/>
  <c r="W4" i="92"/>
  <c r="V4" i="92"/>
  <c r="T4" i="92"/>
  <c r="S4" i="92"/>
  <c r="R4" i="92"/>
  <c r="Q4" i="92"/>
  <c r="P4" i="92"/>
  <c r="O4" i="92"/>
  <c r="N4" i="92"/>
  <c r="M4" i="92"/>
  <c r="L4" i="92"/>
  <c r="K4" i="92"/>
  <c r="J4" i="92"/>
  <c r="I4" i="92"/>
  <c r="H4" i="92"/>
  <c r="G4" i="92"/>
  <c r="F4" i="92"/>
  <c r="E4" i="92"/>
  <c r="BW4" i="91"/>
  <c r="BV4" i="91"/>
  <c r="BU4" i="91"/>
  <c r="BT4" i="91"/>
  <c r="BS4" i="91"/>
  <c r="BR4" i="91"/>
  <c r="BQ4" i="91"/>
  <c r="BP4" i="91"/>
  <c r="BO4" i="91"/>
  <c r="BN4" i="91"/>
  <c r="BM4" i="91"/>
  <c r="BL4" i="91"/>
  <c r="BK4" i="91"/>
  <c r="BJ4" i="91"/>
  <c r="BH4" i="91"/>
  <c r="BG4" i="91"/>
  <c r="BF4" i="91"/>
  <c r="BE4" i="91"/>
  <c r="BC4" i="91"/>
  <c r="BB4" i="91"/>
  <c r="BA4" i="91"/>
  <c r="AZ4" i="91"/>
  <c r="AY4" i="91"/>
  <c r="AX4" i="91"/>
  <c r="AW4" i="91"/>
  <c r="AV4" i="91"/>
  <c r="AU4" i="91"/>
  <c r="AT4" i="91"/>
  <c r="AS4" i="91"/>
  <c r="AR4" i="91"/>
  <c r="AQ4" i="91"/>
  <c r="AO4" i="91"/>
  <c r="AN4" i="91"/>
  <c r="AM4" i="91"/>
  <c r="AL4" i="91"/>
  <c r="AJ4" i="91"/>
  <c r="AI4" i="91"/>
  <c r="AH4" i="91"/>
  <c r="AG4" i="91"/>
  <c r="AF4" i="91"/>
  <c r="AE4" i="91"/>
  <c r="AD4" i="91"/>
  <c r="AC4" i="91"/>
  <c r="AB4" i="91"/>
  <c r="AA4" i="91"/>
  <c r="Z4" i="91"/>
  <c r="Y4" i="91"/>
  <c r="X4" i="91"/>
  <c r="W4" i="91"/>
  <c r="V4" i="91"/>
  <c r="T4" i="91"/>
  <c r="S4" i="91"/>
  <c r="R4" i="91"/>
  <c r="Q4" i="91"/>
  <c r="P4" i="91"/>
  <c r="O4" i="91"/>
  <c r="N4" i="91"/>
  <c r="M4" i="91"/>
  <c r="L4" i="91"/>
  <c r="K4" i="91"/>
  <c r="J4" i="91"/>
  <c r="I4" i="91"/>
  <c r="H4" i="91"/>
  <c r="G4" i="91"/>
  <c r="F4" i="91"/>
  <c r="E4" i="91"/>
  <c r="BW4" i="90"/>
  <c r="BV4" i="90"/>
  <c r="BU4" i="90"/>
  <c r="BT4" i="90"/>
  <c r="BS4" i="90"/>
  <c r="BR4" i="90"/>
  <c r="BQ4" i="90"/>
  <c r="BP4" i="90"/>
  <c r="BO4" i="90"/>
  <c r="BN4" i="90"/>
  <c r="BM4" i="90"/>
  <c r="BL4" i="90"/>
  <c r="BK4" i="90"/>
  <c r="BJ4" i="90"/>
  <c r="BH4" i="90"/>
  <c r="BG4" i="90"/>
  <c r="BF4" i="90"/>
  <c r="BE4" i="90"/>
  <c r="BC4" i="90"/>
  <c r="BB4" i="90"/>
  <c r="BA4" i="90"/>
  <c r="AZ4" i="90"/>
  <c r="AY4" i="90"/>
  <c r="AX4" i="90"/>
  <c r="AW4" i="90"/>
  <c r="AV4" i="90"/>
  <c r="AU4" i="90"/>
  <c r="AT4" i="90"/>
  <c r="AS4" i="90"/>
  <c r="AR4" i="90"/>
  <c r="AQ4" i="90"/>
  <c r="AO4" i="90"/>
  <c r="AN4" i="90"/>
  <c r="AM4" i="90"/>
  <c r="AL4" i="90"/>
  <c r="AJ4" i="90"/>
  <c r="AI4" i="90"/>
  <c r="AH4" i="90"/>
  <c r="AG4" i="90"/>
  <c r="AF4" i="90"/>
  <c r="AE4" i="90"/>
  <c r="AD4" i="90"/>
  <c r="AC4" i="90"/>
  <c r="AB4" i="90"/>
  <c r="AA4" i="90"/>
  <c r="Z4" i="90"/>
  <c r="Y4" i="90"/>
  <c r="X4" i="90"/>
  <c r="W4" i="90"/>
  <c r="V4" i="90"/>
  <c r="T4" i="90"/>
  <c r="S4" i="90"/>
  <c r="R4" i="90"/>
  <c r="Q4" i="90"/>
  <c r="P4" i="90"/>
  <c r="O4" i="90"/>
  <c r="N4" i="90"/>
  <c r="M4" i="90"/>
  <c r="L4" i="90"/>
  <c r="K4" i="90"/>
  <c r="J4" i="90"/>
  <c r="I4" i="90"/>
  <c r="H4" i="90"/>
  <c r="G4" i="90"/>
  <c r="F4" i="90"/>
  <c r="E4" i="90"/>
  <c r="BW4" i="89"/>
  <c r="BV4" i="89"/>
  <c r="BU4" i="89"/>
  <c r="BT4" i="89"/>
  <c r="BS4" i="89"/>
  <c r="BR4" i="89"/>
  <c r="BQ4" i="89"/>
  <c r="BP4" i="89"/>
  <c r="BO4" i="89"/>
  <c r="BN4" i="89"/>
  <c r="BM4" i="89"/>
  <c r="BL4" i="89"/>
  <c r="BK4" i="89"/>
  <c r="BJ4" i="89"/>
  <c r="BH4" i="89"/>
  <c r="BG4" i="89"/>
  <c r="BF4" i="89"/>
  <c r="BE4" i="89"/>
  <c r="BC4" i="89"/>
  <c r="BB4" i="89"/>
  <c r="BA4" i="89"/>
  <c r="AZ4" i="89"/>
  <c r="AY4" i="89"/>
  <c r="AX4" i="89"/>
  <c r="AW4" i="89"/>
  <c r="AV4" i="89"/>
  <c r="AU4" i="89"/>
  <c r="AT4" i="89"/>
  <c r="AS4" i="89"/>
  <c r="AR4" i="89"/>
  <c r="AQ4" i="89"/>
  <c r="AO4" i="89"/>
  <c r="AN4" i="89"/>
  <c r="AM4" i="89"/>
  <c r="AL4" i="89"/>
  <c r="AJ4" i="89"/>
  <c r="AI4" i="89"/>
  <c r="AH4" i="89"/>
  <c r="AG4" i="89"/>
  <c r="AF4" i="89"/>
  <c r="AE4" i="89"/>
  <c r="AD4" i="89"/>
  <c r="AC4" i="89"/>
  <c r="AB4" i="89"/>
  <c r="AA4" i="89"/>
  <c r="Z4" i="89"/>
  <c r="Y4" i="89"/>
  <c r="X4" i="89"/>
  <c r="W4" i="89"/>
  <c r="V4" i="89"/>
  <c r="T4" i="89"/>
  <c r="S4" i="89"/>
  <c r="R4" i="89"/>
  <c r="Q4" i="89"/>
  <c r="P4" i="89"/>
  <c r="O4" i="89"/>
  <c r="N4" i="89"/>
  <c r="M4" i="89"/>
  <c r="L4" i="89"/>
  <c r="K4" i="89"/>
  <c r="J4" i="89"/>
  <c r="I4" i="89"/>
  <c r="H4" i="89"/>
  <c r="G4" i="89"/>
  <c r="F4" i="89"/>
  <c r="E4" i="89"/>
  <c r="BW4" i="88"/>
  <c r="BV4" i="88"/>
  <c r="BU4" i="88"/>
  <c r="BT4" i="88"/>
  <c r="BS4" i="88"/>
  <c r="BR4" i="88"/>
  <c r="BQ4" i="88"/>
  <c r="BP4" i="88"/>
  <c r="BO4" i="88"/>
  <c r="BN4" i="88"/>
  <c r="BM4" i="88"/>
  <c r="BL4" i="88"/>
  <c r="BK4" i="88"/>
  <c r="BJ4" i="88"/>
  <c r="BH4" i="88"/>
  <c r="BG4" i="88"/>
  <c r="BF4" i="88"/>
  <c r="BE4" i="88"/>
  <c r="BC4" i="88"/>
  <c r="BB4" i="88"/>
  <c r="BA4" i="88"/>
  <c r="AZ4" i="88"/>
  <c r="AY4" i="88"/>
  <c r="AX4" i="88"/>
  <c r="AW4" i="88"/>
  <c r="AV4" i="88"/>
  <c r="AU4" i="88"/>
  <c r="AT4" i="88"/>
  <c r="AS4" i="88"/>
  <c r="AR4" i="88"/>
  <c r="AQ4" i="88"/>
  <c r="AO4" i="88"/>
  <c r="AN4" i="88"/>
  <c r="AM4" i="88"/>
  <c r="AL4" i="88"/>
  <c r="AJ4" i="88"/>
  <c r="AI4" i="88"/>
  <c r="AH4" i="88"/>
  <c r="AG4" i="88"/>
  <c r="AF4" i="88"/>
  <c r="AE4" i="88"/>
  <c r="AD4" i="88"/>
  <c r="AC4" i="88"/>
  <c r="AB4" i="88"/>
  <c r="AA4" i="88"/>
  <c r="Z4" i="88"/>
  <c r="Y4" i="88"/>
  <c r="X4" i="88"/>
  <c r="W4" i="88"/>
  <c r="V4" i="88"/>
  <c r="T4" i="88"/>
  <c r="S4" i="88"/>
  <c r="R4" i="88"/>
  <c r="Q4" i="88"/>
  <c r="P4" i="88"/>
  <c r="O4" i="88"/>
  <c r="N4" i="88"/>
  <c r="M4" i="88"/>
  <c r="L4" i="88"/>
  <c r="K4" i="88"/>
  <c r="J4" i="88"/>
  <c r="I4" i="88"/>
  <c r="H4" i="88"/>
  <c r="G4" i="88"/>
  <c r="F4" i="88"/>
  <c r="E4" i="88"/>
  <c r="BW4" i="87"/>
  <c r="BV4" i="87"/>
  <c r="BU4" i="87"/>
  <c r="BT4" i="87"/>
  <c r="BS4" i="87"/>
  <c r="BR4" i="87"/>
  <c r="BQ4" i="87"/>
  <c r="BP4" i="87"/>
  <c r="BO4" i="87"/>
  <c r="BN4" i="87"/>
  <c r="BM4" i="87"/>
  <c r="BL4" i="87"/>
  <c r="BK4" i="87"/>
  <c r="BJ4" i="87"/>
  <c r="BH4" i="87"/>
  <c r="BG4" i="87"/>
  <c r="BF4" i="87"/>
  <c r="BE4" i="87"/>
  <c r="BC4" i="87"/>
  <c r="BB4" i="87"/>
  <c r="BA4" i="87"/>
  <c r="AZ4" i="87"/>
  <c r="AY4" i="87"/>
  <c r="AX4" i="87"/>
  <c r="AW4" i="87"/>
  <c r="AV4" i="87"/>
  <c r="AU4" i="87"/>
  <c r="AT4" i="87"/>
  <c r="AS4" i="87"/>
  <c r="AR4" i="87"/>
  <c r="AQ4" i="87"/>
  <c r="AO4" i="87"/>
  <c r="AN4" i="87"/>
  <c r="AM4" i="87"/>
  <c r="AL4" i="87"/>
  <c r="AJ4" i="87"/>
  <c r="AI4" i="87"/>
  <c r="AH4" i="87"/>
  <c r="AG4" i="87"/>
  <c r="AF4" i="87"/>
  <c r="AE4" i="87"/>
  <c r="AD4" i="87"/>
  <c r="AC4" i="87"/>
  <c r="AB4" i="87"/>
  <c r="AA4" i="87"/>
  <c r="Z4" i="87"/>
  <c r="Y4" i="87"/>
  <c r="X4" i="87"/>
  <c r="W4" i="87"/>
  <c r="V4" i="87"/>
  <c r="T4" i="87"/>
  <c r="S4" i="87"/>
  <c r="R4" i="87"/>
  <c r="Q4" i="87"/>
  <c r="P4" i="87"/>
  <c r="O4" i="87"/>
  <c r="N4" i="87"/>
  <c r="M4" i="87"/>
  <c r="L4" i="87"/>
  <c r="K4" i="87"/>
  <c r="J4" i="87"/>
  <c r="I4" i="87"/>
  <c r="H4" i="87"/>
  <c r="G4" i="87"/>
  <c r="F4" i="87"/>
  <c r="E4" i="87"/>
  <c r="BW4" i="86"/>
  <c r="BV4" i="86"/>
  <c r="BU4" i="86"/>
  <c r="BT4" i="86"/>
  <c r="BS4" i="86"/>
  <c r="BR4" i="86"/>
  <c r="BQ4" i="86"/>
  <c r="BP4" i="86"/>
  <c r="BO4" i="86"/>
  <c r="BN4" i="86"/>
  <c r="BM4" i="86"/>
  <c r="BL4" i="86"/>
  <c r="BK4" i="86"/>
  <c r="BJ4" i="86"/>
  <c r="BH4" i="86"/>
  <c r="BG4" i="86"/>
  <c r="BF4" i="86"/>
  <c r="BE4" i="86"/>
  <c r="BC4" i="86"/>
  <c r="BB4" i="86"/>
  <c r="BA4" i="86"/>
  <c r="AZ4" i="86"/>
  <c r="AY4" i="86"/>
  <c r="AX4" i="86"/>
  <c r="AW4" i="86"/>
  <c r="AV4" i="86"/>
  <c r="AU4" i="86"/>
  <c r="AT4" i="86"/>
  <c r="AS4" i="86"/>
  <c r="AR4" i="86"/>
  <c r="AQ4" i="86"/>
  <c r="AO4" i="86"/>
  <c r="AN4" i="86"/>
  <c r="AM4" i="86"/>
  <c r="AL4" i="86"/>
  <c r="AJ4" i="86"/>
  <c r="AI4" i="86"/>
  <c r="AH4" i="86"/>
  <c r="AG4" i="86"/>
  <c r="AF4" i="86"/>
  <c r="AE4" i="86"/>
  <c r="AD4" i="86"/>
  <c r="AC4" i="86"/>
  <c r="AB4" i="86"/>
  <c r="AA4" i="86"/>
  <c r="Z4" i="86"/>
  <c r="Y4" i="86"/>
  <c r="X4" i="86"/>
  <c r="W4" i="86"/>
  <c r="V4" i="86"/>
  <c r="T4" i="86"/>
  <c r="S4" i="86"/>
  <c r="R4" i="86"/>
  <c r="Q4" i="86"/>
  <c r="P4" i="86"/>
  <c r="O4" i="86"/>
  <c r="N4" i="86"/>
  <c r="M4" i="86"/>
  <c r="L4" i="86"/>
  <c r="K4" i="86"/>
  <c r="J4" i="86"/>
  <c r="I4" i="86"/>
  <c r="H4" i="86"/>
  <c r="G4" i="86"/>
  <c r="F4" i="86"/>
  <c r="E4" i="86"/>
  <c r="BW4" i="85"/>
  <c r="BV4" i="85"/>
  <c r="BU4" i="85"/>
  <c r="BT4" i="85"/>
  <c r="BS4" i="85"/>
  <c r="BR4" i="85"/>
  <c r="BQ4" i="85"/>
  <c r="BP4" i="85"/>
  <c r="BO4" i="85"/>
  <c r="BN4" i="85"/>
  <c r="BM4" i="85"/>
  <c r="BL4" i="85"/>
  <c r="BK4" i="85"/>
  <c r="BJ4" i="85"/>
  <c r="BH4" i="85"/>
  <c r="BG4" i="85"/>
  <c r="BF4" i="85"/>
  <c r="BE4" i="85"/>
  <c r="BC4" i="85"/>
  <c r="BB4" i="85"/>
  <c r="BA4" i="85"/>
  <c r="AZ4" i="85"/>
  <c r="AY4" i="85"/>
  <c r="AX4" i="85"/>
  <c r="AW4" i="85"/>
  <c r="AV4" i="85"/>
  <c r="AU4" i="85"/>
  <c r="AT4" i="85"/>
  <c r="AS4" i="85"/>
  <c r="AR4" i="85"/>
  <c r="AQ4" i="85"/>
  <c r="AO4" i="85"/>
  <c r="AN4" i="85"/>
  <c r="AM4" i="85"/>
  <c r="AL4" i="85"/>
  <c r="AJ4" i="85"/>
  <c r="AI4" i="85"/>
  <c r="AH4" i="85"/>
  <c r="AG4" i="85"/>
  <c r="AF4" i="85"/>
  <c r="AE4" i="85"/>
  <c r="AD4" i="85"/>
  <c r="AC4" i="85"/>
  <c r="AB4" i="85"/>
  <c r="AA4" i="85"/>
  <c r="Z4" i="85"/>
  <c r="Y4" i="85"/>
  <c r="X4" i="85"/>
  <c r="W4" i="85"/>
  <c r="V4" i="85"/>
  <c r="T4" i="85"/>
  <c r="S4" i="85"/>
  <c r="R4" i="85"/>
  <c r="Q4" i="85"/>
  <c r="P4" i="85"/>
  <c r="O4" i="85"/>
  <c r="N4" i="85"/>
  <c r="M4" i="85"/>
  <c r="L4" i="85"/>
  <c r="K4" i="85"/>
  <c r="J4" i="85"/>
  <c r="I4" i="85"/>
  <c r="H4" i="85"/>
  <c r="G4" i="85"/>
  <c r="F4" i="85"/>
  <c r="E4" i="85"/>
  <c r="BW4" i="84"/>
  <c r="BV4" i="84"/>
  <c r="BU4" i="84"/>
  <c r="BT4" i="84"/>
  <c r="BS4" i="84"/>
  <c r="BR4" i="84"/>
  <c r="BQ4" i="84"/>
  <c r="BP4" i="84"/>
  <c r="BO4" i="84"/>
  <c r="BN4" i="84"/>
  <c r="BM4" i="84"/>
  <c r="BL4" i="84"/>
  <c r="BK4" i="84"/>
  <c r="BJ4" i="84"/>
  <c r="BH4" i="84"/>
  <c r="BG4" i="84"/>
  <c r="BF4" i="84"/>
  <c r="BE4" i="84"/>
  <c r="BC4" i="84"/>
  <c r="BB4" i="84"/>
  <c r="BA4" i="84"/>
  <c r="AZ4" i="84"/>
  <c r="AY4" i="84"/>
  <c r="AX4" i="84"/>
  <c r="AW4" i="84"/>
  <c r="AV4" i="84"/>
  <c r="AU4" i="84"/>
  <c r="AT4" i="84"/>
  <c r="AS4" i="84"/>
  <c r="AR4" i="84"/>
  <c r="AQ4" i="84"/>
  <c r="AO4" i="84"/>
  <c r="AN4" i="84"/>
  <c r="AM4" i="84"/>
  <c r="AL4" i="84"/>
  <c r="AJ4" i="84"/>
  <c r="AI4" i="84"/>
  <c r="AH4" i="84"/>
  <c r="AG4" i="84"/>
  <c r="AF4" i="84"/>
  <c r="AE4" i="84"/>
  <c r="AD4" i="84"/>
  <c r="AC4" i="84"/>
  <c r="AB4" i="84"/>
  <c r="AA4" i="84"/>
  <c r="Z4" i="84"/>
  <c r="Y4" i="84"/>
  <c r="X4" i="84"/>
  <c r="W4" i="84"/>
  <c r="V4" i="84"/>
  <c r="T4" i="84"/>
  <c r="S4" i="84"/>
  <c r="R4" i="84"/>
  <c r="Q4" i="84"/>
  <c r="P4" i="84"/>
  <c r="O4" i="84"/>
  <c r="N4" i="84"/>
  <c r="M4" i="84"/>
  <c r="L4" i="84"/>
  <c r="K4" i="84"/>
  <c r="J4" i="84"/>
  <c r="I4" i="84"/>
  <c r="H4" i="84"/>
  <c r="G4" i="84"/>
  <c r="F4" i="84"/>
  <c r="E4" i="84"/>
  <c r="BW4" i="83"/>
  <c r="BV4" i="83"/>
  <c r="BU4" i="83"/>
  <c r="BT4" i="83"/>
  <c r="BS4" i="83"/>
  <c r="BR4" i="83"/>
  <c r="BQ4" i="83"/>
  <c r="BP4" i="83"/>
  <c r="BO4" i="83"/>
  <c r="BN4" i="83"/>
  <c r="BM4" i="83"/>
  <c r="BL4" i="83"/>
  <c r="BK4" i="83"/>
  <c r="BJ4" i="83"/>
  <c r="BH4" i="83"/>
  <c r="BG4" i="83"/>
  <c r="BF4" i="83"/>
  <c r="BE4" i="83"/>
  <c r="BC4" i="83"/>
  <c r="BB4" i="83"/>
  <c r="BA4" i="83"/>
  <c r="AZ4" i="83"/>
  <c r="AY4" i="83"/>
  <c r="AX4" i="83"/>
  <c r="AW4" i="83"/>
  <c r="AV4" i="83"/>
  <c r="AU4" i="83"/>
  <c r="AT4" i="83"/>
  <c r="AS4" i="83"/>
  <c r="AR4" i="83"/>
  <c r="AQ4" i="83"/>
  <c r="AO4" i="83"/>
  <c r="AN4" i="83"/>
  <c r="AM4" i="83"/>
  <c r="AL4" i="83"/>
  <c r="AJ4" i="83"/>
  <c r="AI4" i="83"/>
  <c r="AH4" i="83"/>
  <c r="AG4" i="83"/>
  <c r="AF4" i="83"/>
  <c r="AE4" i="83"/>
  <c r="AD4" i="83"/>
  <c r="AC4" i="83"/>
  <c r="AB4" i="83"/>
  <c r="AA4" i="83"/>
  <c r="Z4" i="83"/>
  <c r="Y4" i="83"/>
  <c r="X4" i="83"/>
  <c r="W4" i="83"/>
  <c r="V4" i="83"/>
  <c r="T4" i="83"/>
  <c r="S4" i="83"/>
  <c r="R4" i="83"/>
  <c r="Q4" i="83"/>
  <c r="P4" i="83"/>
  <c r="O4" i="83"/>
  <c r="N4" i="83"/>
  <c r="M4" i="83"/>
  <c r="L4" i="83"/>
  <c r="K4" i="83"/>
  <c r="J4" i="83"/>
  <c r="I4" i="83"/>
  <c r="H4" i="83"/>
  <c r="G4" i="83"/>
  <c r="F4" i="83"/>
  <c r="E4" i="83"/>
  <c r="BW4" i="82"/>
  <c r="BV4" i="82"/>
  <c r="BU4" i="82"/>
  <c r="BT4" i="82"/>
  <c r="BS4" i="82"/>
  <c r="BR4" i="82"/>
  <c r="BQ4" i="82"/>
  <c r="BP4" i="82"/>
  <c r="BO4" i="82"/>
  <c r="BN4" i="82"/>
  <c r="BM4" i="82"/>
  <c r="BL4" i="82"/>
  <c r="BK4" i="82"/>
  <c r="BJ4" i="82"/>
  <c r="BH4" i="82"/>
  <c r="BG4" i="82"/>
  <c r="BF4" i="82"/>
  <c r="BE4" i="82"/>
  <c r="BC4" i="82"/>
  <c r="BB4" i="82"/>
  <c r="BA4" i="82"/>
  <c r="AZ4" i="82"/>
  <c r="AY4" i="82"/>
  <c r="AX4" i="82"/>
  <c r="AW4" i="82"/>
  <c r="AV4" i="82"/>
  <c r="AU4" i="82"/>
  <c r="AT4" i="82"/>
  <c r="AS4" i="82"/>
  <c r="AR4" i="82"/>
  <c r="AQ4" i="82"/>
  <c r="AO4" i="82"/>
  <c r="AN4" i="82"/>
  <c r="AM4" i="82"/>
  <c r="AL4" i="82"/>
  <c r="AJ4" i="82"/>
  <c r="AI4" i="82"/>
  <c r="AH4" i="82"/>
  <c r="AG4" i="82"/>
  <c r="AF4" i="82"/>
  <c r="AE4" i="82"/>
  <c r="AD4" i="82"/>
  <c r="AC4" i="82"/>
  <c r="AB4" i="82"/>
  <c r="AA4" i="82"/>
  <c r="Z4" i="82"/>
  <c r="Y4" i="82"/>
  <c r="X4" i="82"/>
  <c r="W4" i="82"/>
  <c r="V4" i="82"/>
  <c r="T4" i="82"/>
  <c r="S4" i="82"/>
  <c r="R4" i="82"/>
  <c r="Q4" i="82"/>
  <c r="P4" i="82"/>
  <c r="O4" i="82"/>
  <c r="N4" i="82"/>
  <c r="M4" i="82"/>
  <c r="L4" i="82"/>
  <c r="K4" i="82"/>
  <c r="J4" i="82"/>
  <c r="I4" i="82"/>
  <c r="H4" i="82"/>
  <c r="G4" i="82"/>
  <c r="F4" i="82"/>
  <c r="E4" i="82"/>
  <c r="BW4" i="81"/>
  <c r="BV4" i="81"/>
  <c r="BU4" i="81"/>
  <c r="BT4" i="81"/>
  <c r="BS4" i="81"/>
  <c r="BR4" i="81"/>
  <c r="BQ4" i="81"/>
  <c r="BP4" i="81"/>
  <c r="BO4" i="81"/>
  <c r="BN4" i="81"/>
  <c r="BM4" i="81"/>
  <c r="BL4" i="81"/>
  <c r="BK4" i="81"/>
  <c r="BJ4" i="81"/>
  <c r="BH4" i="81"/>
  <c r="BG4" i="81"/>
  <c r="BF4" i="81"/>
  <c r="BE4" i="81"/>
  <c r="BC4" i="81"/>
  <c r="BB4" i="81"/>
  <c r="BA4" i="81"/>
  <c r="AZ4" i="81"/>
  <c r="AY4" i="81"/>
  <c r="AX4" i="81"/>
  <c r="AW4" i="81"/>
  <c r="AV4" i="81"/>
  <c r="AU4" i="81"/>
  <c r="AT4" i="81"/>
  <c r="AS4" i="81"/>
  <c r="AR4" i="81"/>
  <c r="AQ4" i="81"/>
  <c r="AO4" i="81"/>
  <c r="AN4" i="81"/>
  <c r="AM4" i="81"/>
  <c r="AL4" i="81"/>
  <c r="AJ4" i="81"/>
  <c r="AI4" i="81"/>
  <c r="AH4" i="81"/>
  <c r="AG4" i="81"/>
  <c r="AF4" i="81"/>
  <c r="AE4" i="81"/>
  <c r="AD4" i="81"/>
  <c r="AC4" i="81"/>
  <c r="AB4" i="81"/>
  <c r="AA4" i="81"/>
  <c r="Z4" i="81"/>
  <c r="Y4" i="81"/>
  <c r="X4" i="81"/>
  <c r="W4" i="81"/>
  <c r="V4" i="81"/>
  <c r="T4" i="81"/>
  <c r="S4" i="81"/>
  <c r="R4" i="81"/>
  <c r="Q4" i="81"/>
  <c r="P4" i="81"/>
  <c r="O4" i="81"/>
  <c r="N4" i="81"/>
  <c r="M4" i="81"/>
  <c r="L4" i="81"/>
  <c r="K4" i="81"/>
  <c r="J4" i="81"/>
  <c r="I4" i="81"/>
  <c r="H4" i="81"/>
  <c r="G4" i="81"/>
  <c r="F4" i="81"/>
  <c r="E4" i="81"/>
  <c r="BW4" i="80"/>
  <c r="BV4" i="80"/>
  <c r="BU4" i="80"/>
  <c r="BT4" i="80"/>
  <c r="BS4" i="80"/>
  <c r="BR4" i="80"/>
  <c r="BQ4" i="80"/>
  <c r="BP4" i="80"/>
  <c r="BO4" i="80"/>
  <c r="BN4" i="80"/>
  <c r="BM4" i="80"/>
  <c r="BL4" i="80"/>
  <c r="BK4" i="80"/>
  <c r="BJ4" i="80"/>
  <c r="BH4" i="80"/>
  <c r="BG4" i="80"/>
  <c r="BF4" i="80"/>
  <c r="BE4" i="80"/>
  <c r="BC4" i="80"/>
  <c r="BB4" i="80"/>
  <c r="BA4" i="80"/>
  <c r="AZ4" i="80"/>
  <c r="AY4" i="80"/>
  <c r="AX4" i="80"/>
  <c r="AW4" i="80"/>
  <c r="AV4" i="80"/>
  <c r="AU4" i="80"/>
  <c r="AT4" i="80"/>
  <c r="AS4" i="80"/>
  <c r="AR4" i="80"/>
  <c r="AQ4" i="80"/>
  <c r="AO4" i="80"/>
  <c r="AN4" i="80"/>
  <c r="AM4" i="80"/>
  <c r="AL4" i="80"/>
  <c r="AJ4" i="80"/>
  <c r="AI4" i="80"/>
  <c r="AH4" i="80"/>
  <c r="AG4" i="80"/>
  <c r="AF4" i="80"/>
  <c r="AE4" i="80"/>
  <c r="AD4" i="80"/>
  <c r="AC4" i="80"/>
  <c r="AB4" i="80"/>
  <c r="AA4" i="80"/>
  <c r="Z4" i="80"/>
  <c r="Y4" i="80"/>
  <c r="X4" i="80"/>
  <c r="W4" i="80"/>
  <c r="V4" i="80"/>
  <c r="T4" i="80"/>
  <c r="S4" i="80"/>
  <c r="R4" i="80"/>
  <c r="Q4" i="80"/>
  <c r="P4" i="80"/>
  <c r="O4" i="80"/>
  <c r="N4" i="80"/>
  <c r="M4" i="80"/>
  <c r="L4" i="80"/>
  <c r="K4" i="80"/>
  <c r="J4" i="80"/>
  <c r="I4" i="80"/>
  <c r="H4" i="80"/>
  <c r="G4" i="80"/>
  <c r="F4" i="80"/>
  <c r="E4" i="80"/>
  <c r="BW4" i="79"/>
  <c r="BV4" i="79"/>
  <c r="BU4" i="79"/>
  <c r="BT4" i="79"/>
  <c r="BS4" i="79"/>
  <c r="BR4" i="79"/>
  <c r="BQ4" i="79"/>
  <c r="BP4" i="79"/>
  <c r="BO4" i="79"/>
  <c r="BN4" i="79"/>
  <c r="BM4" i="79"/>
  <c r="BL4" i="79"/>
  <c r="BK4" i="79"/>
  <c r="BJ4" i="79"/>
  <c r="BH4" i="79"/>
  <c r="BG4" i="79"/>
  <c r="BF4" i="79"/>
  <c r="BE4" i="79"/>
  <c r="BC4" i="79"/>
  <c r="BB4" i="79"/>
  <c r="BA4" i="79"/>
  <c r="AZ4" i="79"/>
  <c r="AY4" i="79"/>
  <c r="AX4" i="79"/>
  <c r="AW4" i="79"/>
  <c r="AV4" i="79"/>
  <c r="AU4" i="79"/>
  <c r="AT4" i="79"/>
  <c r="AS4" i="79"/>
  <c r="AR4" i="79"/>
  <c r="AQ4" i="79"/>
  <c r="AO4" i="79"/>
  <c r="AN4" i="79"/>
  <c r="AM4" i="79"/>
  <c r="AL4" i="79"/>
  <c r="AJ4" i="79"/>
  <c r="AI4" i="79"/>
  <c r="AH4" i="79"/>
  <c r="AG4" i="79"/>
  <c r="AF4" i="79"/>
  <c r="AE4" i="79"/>
  <c r="AD4" i="79"/>
  <c r="AC4" i="79"/>
  <c r="AB4" i="79"/>
  <c r="AA4" i="79"/>
  <c r="Z4" i="79"/>
  <c r="Y4" i="79"/>
  <c r="X4" i="79"/>
  <c r="W4" i="79"/>
  <c r="V4" i="79"/>
  <c r="T4" i="79"/>
  <c r="S4" i="79"/>
  <c r="R4" i="79"/>
  <c r="Q4" i="79"/>
  <c r="P4" i="79"/>
  <c r="O4" i="79"/>
  <c r="N4" i="79"/>
  <c r="M4" i="79"/>
  <c r="L4" i="79"/>
  <c r="K4" i="79"/>
  <c r="J4" i="79"/>
  <c r="I4" i="79"/>
  <c r="H4" i="79"/>
  <c r="G4" i="79"/>
  <c r="F4" i="79"/>
  <c r="E4" i="79"/>
  <c r="BW4" i="78"/>
  <c r="BV4" i="78"/>
  <c r="BU4" i="78"/>
  <c r="BT4" i="78"/>
  <c r="BS4" i="78"/>
  <c r="BR4" i="78"/>
  <c r="BQ4" i="78"/>
  <c r="BP4" i="78"/>
  <c r="BO4" i="78"/>
  <c r="BN4" i="78"/>
  <c r="BM4" i="78"/>
  <c r="BL4" i="78"/>
  <c r="BK4" i="78"/>
  <c r="BJ4" i="78"/>
  <c r="BH4" i="78"/>
  <c r="BG4" i="78"/>
  <c r="BF4" i="78"/>
  <c r="BE4" i="78"/>
  <c r="BC4" i="78"/>
  <c r="BB4" i="78"/>
  <c r="BA4" i="78"/>
  <c r="AZ4" i="78"/>
  <c r="AY4" i="78"/>
  <c r="AX4" i="78"/>
  <c r="AW4" i="78"/>
  <c r="AV4" i="78"/>
  <c r="AU4" i="78"/>
  <c r="AT4" i="78"/>
  <c r="AS4" i="78"/>
  <c r="AR4" i="78"/>
  <c r="AQ4" i="78"/>
  <c r="AO4" i="78"/>
  <c r="AN4" i="78"/>
  <c r="AM4" i="78"/>
  <c r="AL4" i="78"/>
  <c r="AJ4" i="78"/>
  <c r="AI4" i="78"/>
  <c r="AH4" i="78"/>
  <c r="AG4" i="78"/>
  <c r="AF4" i="78"/>
  <c r="AE4" i="78"/>
  <c r="AD4" i="78"/>
  <c r="AC4" i="78"/>
  <c r="AB4" i="78"/>
  <c r="AA4" i="78"/>
  <c r="Z4" i="78"/>
  <c r="Y4" i="78"/>
  <c r="X4" i="78"/>
  <c r="W4" i="78"/>
  <c r="V4" i="78"/>
  <c r="T4" i="78"/>
  <c r="S4" i="78"/>
  <c r="R4" i="78"/>
  <c r="Q4" i="78"/>
  <c r="P4" i="78"/>
  <c r="O4" i="78"/>
  <c r="N4" i="78"/>
  <c r="M4" i="78"/>
  <c r="L4" i="78"/>
  <c r="K4" i="78"/>
  <c r="J4" i="78"/>
  <c r="I4" i="78"/>
  <c r="H4" i="78"/>
  <c r="G4" i="78"/>
  <c r="F4" i="78"/>
  <c r="E4" i="78"/>
  <c r="BW4" i="77"/>
  <c r="BV4" i="77"/>
  <c r="BU4" i="77"/>
  <c r="BT4" i="77"/>
  <c r="BS4" i="77"/>
  <c r="BR4" i="77"/>
  <c r="BQ4" i="77"/>
  <c r="BP4" i="77"/>
  <c r="BO4" i="77"/>
  <c r="BN4" i="77"/>
  <c r="BM4" i="77"/>
  <c r="BL4" i="77"/>
  <c r="BK4" i="77"/>
  <c r="BJ4" i="77"/>
  <c r="BH4" i="77"/>
  <c r="BG4" i="77"/>
  <c r="BF4" i="77"/>
  <c r="BE4" i="77"/>
  <c r="BC4" i="77"/>
  <c r="BB4" i="77"/>
  <c r="BA4" i="77"/>
  <c r="AZ4" i="77"/>
  <c r="AY4" i="77"/>
  <c r="AX4" i="77"/>
  <c r="AW4" i="77"/>
  <c r="AV4" i="77"/>
  <c r="AU4" i="77"/>
  <c r="AT4" i="77"/>
  <c r="AS4" i="77"/>
  <c r="AR4" i="77"/>
  <c r="AQ4" i="77"/>
  <c r="AO4" i="77"/>
  <c r="AN4" i="77"/>
  <c r="AM4" i="77"/>
  <c r="AL4" i="77"/>
  <c r="AJ4" i="77"/>
  <c r="AI4" i="77"/>
  <c r="AH4" i="77"/>
  <c r="AG4" i="77"/>
  <c r="AF4" i="77"/>
  <c r="AE4" i="77"/>
  <c r="AD4" i="77"/>
  <c r="AC4" i="77"/>
  <c r="AB4" i="77"/>
  <c r="AA4" i="77"/>
  <c r="Z4" i="77"/>
  <c r="Y4" i="77"/>
  <c r="X4" i="77"/>
  <c r="W4" i="77"/>
  <c r="V4" i="77"/>
  <c r="T4" i="77"/>
  <c r="S4" i="77"/>
  <c r="R4" i="77"/>
  <c r="Q4" i="77"/>
  <c r="P4" i="77"/>
  <c r="O4" i="77"/>
  <c r="N4" i="77"/>
  <c r="M4" i="77"/>
  <c r="L4" i="77"/>
  <c r="K4" i="77"/>
  <c r="J4" i="77"/>
  <c r="I4" i="77"/>
  <c r="H4" i="77"/>
  <c r="G4" i="77"/>
  <c r="F4" i="77"/>
  <c r="E4" i="77"/>
  <c r="BW4" i="76"/>
  <c r="BV4" i="76"/>
  <c r="BU4" i="76"/>
  <c r="BT4" i="76"/>
  <c r="BS4" i="76"/>
  <c r="BR4" i="76"/>
  <c r="BQ4" i="76"/>
  <c r="BP4" i="76"/>
  <c r="BO4" i="76"/>
  <c r="BN4" i="76"/>
  <c r="BM4" i="76"/>
  <c r="BL4" i="76"/>
  <c r="BK4" i="76"/>
  <c r="BJ4" i="76"/>
  <c r="BH4" i="76"/>
  <c r="BG4" i="76"/>
  <c r="BF4" i="76"/>
  <c r="BE4" i="76"/>
  <c r="BC4" i="76"/>
  <c r="BB4" i="76"/>
  <c r="BA4" i="76"/>
  <c r="AZ4" i="76"/>
  <c r="AY4" i="76"/>
  <c r="AX4" i="76"/>
  <c r="AW4" i="76"/>
  <c r="AV4" i="76"/>
  <c r="AU4" i="76"/>
  <c r="AT4" i="76"/>
  <c r="AS4" i="76"/>
  <c r="AR4" i="76"/>
  <c r="AQ4" i="76"/>
  <c r="AO4" i="76"/>
  <c r="AN4" i="76"/>
  <c r="AM4" i="76"/>
  <c r="AL4" i="76"/>
  <c r="AJ4" i="76"/>
  <c r="AI4" i="76"/>
  <c r="AH4" i="76"/>
  <c r="AG4" i="76"/>
  <c r="AF4" i="76"/>
  <c r="AE4" i="76"/>
  <c r="AD4" i="76"/>
  <c r="AC4" i="76"/>
  <c r="AB4" i="76"/>
  <c r="AA4" i="76"/>
  <c r="Z4" i="76"/>
  <c r="Y4" i="76"/>
  <c r="X4" i="76"/>
  <c r="W4" i="76"/>
  <c r="V4" i="76"/>
  <c r="T4" i="76"/>
  <c r="S4" i="76"/>
  <c r="R4" i="76"/>
  <c r="Q4" i="76"/>
  <c r="P4" i="76"/>
  <c r="O4" i="76"/>
  <c r="N4" i="76"/>
  <c r="M4" i="76"/>
  <c r="L4" i="76"/>
  <c r="K4" i="76"/>
  <c r="J4" i="76"/>
  <c r="I4" i="76"/>
  <c r="H4" i="76"/>
  <c r="G4" i="76"/>
  <c r="F4" i="76"/>
  <c r="E4" i="76"/>
  <c r="BW4" i="75"/>
  <c r="BV4" i="75"/>
  <c r="BU4" i="75"/>
  <c r="BT4" i="75"/>
  <c r="BS4" i="75"/>
  <c r="BR4" i="75"/>
  <c r="BQ4" i="75"/>
  <c r="BP4" i="75"/>
  <c r="BO4" i="75"/>
  <c r="BN4" i="75"/>
  <c r="BM4" i="75"/>
  <c r="BL4" i="75"/>
  <c r="BK4" i="75"/>
  <c r="BJ4" i="75"/>
  <c r="BH4" i="75"/>
  <c r="BG4" i="75"/>
  <c r="BF4" i="75"/>
  <c r="BE4" i="75"/>
  <c r="BC4" i="75"/>
  <c r="BB4" i="75"/>
  <c r="BA4" i="75"/>
  <c r="AZ4" i="75"/>
  <c r="AY4" i="75"/>
  <c r="AX4" i="75"/>
  <c r="AW4" i="75"/>
  <c r="AV4" i="75"/>
  <c r="AU4" i="75"/>
  <c r="AT4" i="75"/>
  <c r="AS4" i="75"/>
  <c r="AR4" i="75"/>
  <c r="AQ4" i="75"/>
  <c r="AO4" i="75"/>
  <c r="AN4" i="75"/>
  <c r="AM4" i="75"/>
  <c r="AL4" i="75"/>
  <c r="AJ4" i="75"/>
  <c r="AI4" i="75"/>
  <c r="AH4" i="75"/>
  <c r="AG4" i="75"/>
  <c r="AF4" i="75"/>
  <c r="AE4" i="75"/>
  <c r="AD4" i="75"/>
  <c r="AC4" i="75"/>
  <c r="AB4" i="75"/>
  <c r="AA4" i="75"/>
  <c r="Z4" i="75"/>
  <c r="Y4" i="75"/>
  <c r="X4" i="75"/>
  <c r="W4" i="75"/>
  <c r="V4" i="75"/>
  <c r="T4" i="75"/>
  <c r="S4" i="75"/>
  <c r="R4" i="75"/>
  <c r="Q4" i="75"/>
  <c r="P4" i="75"/>
  <c r="O4" i="75"/>
  <c r="N4" i="75"/>
  <c r="M4" i="75"/>
  <c r="L4" i="75"/>
  <c r="K4" i="75"/>
  <c r="J4" i="75"/>
  <c r="I4" i="75"/>
  <c r="H4" i="75"/>
  <c r="G4" i="75"/>
  <c r="F4" i="75"/>
  <c r="E4" i="75"/>
  <c r="BW4" i="74"/>
  <c r="BV4" i="74"/>
  <c r="BU4" i="74"/>
  <c r="BT4" i="74"/>
  <c r="BS4" i="74"/>
  <c r="BR4" i="74"/>
  <c r="BQ4" i="74"/>
  <c r="BP4" i="74"/>
  <c r="BO4" i="74"/>
  <c r="BN4" i="74"/>
  <c r="BM4" i="74"/>
  <c r="BL4" i="74"/>
  <c r="BK4" i="74"/>
  <c r="BJ4" i="74"/>
  <c r="BH4" i="74"/>
  <c r="BG4" i="74"/>
  <c r="BF4" i="74"/>
  <c r="BE4" i="74"/>
  <c r="BC4" i="74"/>
  <c r="BB4" i="74"/>
  <c r="BA4" i="74"/>
  <c r="AZ4" i="74"/>
  <c r="AY4" i="74"/>
  <c r="AX4" i="74"/>
  <c r="AW4" i="74"/>
  <c r="AV4" i="74"/>
  <c r="AU4" i="74"/>
  <c r="AT4" i="74"/>
  <c r="AS4" i="74"/>
  <c r="AR4" i="74"/>
  <c r="AQ4" i="74"/>
  <c r="AO4" i="74"/>
  <c r="AN4" i="74"/>
  <c r="AM4" i="74"/>
  <c r="AL4" i="74"/>
  <c r="AJ4" i="74"/>
  <c r="AI4" i="74"/>
  <c r="AH4" i="74"/>
  <c r="AG4" i="74"/>
  <c r="AF4" i="74"/>
  <c r="AE4" i="74"/>
  <c r="AD4" i="74"/>
  <c r="AC4" i="74"/>
  <c r="AB4" i="74"/>
  <c r="AA4" i="74"/>
  <c r="Z4" i="74"/>
  <c r="Y4" i="74"/>
  <c r="X4" i="74"/>
  <c r="W4" i="74"/>
  <c r="V4" i="74"/>
  <c r="T4" i="74"/>
  <c r="S4" i="74"/>
  <c r="R4" i="74"/>
  <c r="Q4" i="74"/>
  <c r="P4" i="74"/>
  <c r="O4" i="74"/>
  <c r="N4" i="74"/>
  <c r="M4" i="74"/>
  <c r="L4" i="74"/>
  <c r="K4" i="74"/>
  <c r="J4" i="74"/>
  <c r="I4" i="74"/>
  <c r="H4" i="74"/>
  <c r="G4" i="74"/>
  <c r="F4" i="74"/>
  <c r="E4" i="74"/>
  <c r="BW4" i="73"/>
  <c r="BV4" i="73"/>
  <c r="BU4" i="73"/>
  <c r="BT4" i="73"/>
  <c r="BS4" i="73"/>
  <c r="BR4" i="73"/>
  <c r="BQ4" i="73"/>
  <c r="BP4" i="73"/>
  <c r="BO4" i="73"/>
  <c r="BN4" i="73"/>
  <c r="BM4" i="73"/>
  <c r="BL4" i="73"/>
  <c r="BK4" i="73"/>
  <c r="BJ4" i="73"/>
  <c r="BH4" i="73"/>
  <c r="BG4" i="73"/>
  <c r="BF4" i="73"/>
  <c r="BE4" i="73"/>
  <c r="BC4" i="73"/>
  <c r="BB4" i="73"/>
  <c r="BA4" i="73"/>
  <c r="AZ4" i="73"/>
  <c r="AY4" i="73"/>
  <c r="AX4" i="73"/>
  <c r="AW4" i="73"/>
  <c r="AV4" i="73"/>
  <c r="AU4" i="73"/>
  <c r="AT4" i="73"/>
  <c r="AS4" i="73"/>
  <c r="AR4" i="73"/>
  <c r="AQ4" i="73"/>
  <c r="AO4" i="73"/>
  <c r="AN4" i="73"/>
  <c r="AM4" i="73"/>
  <c r="AL4" i="73"/>
  <c r="AJ4" i="73"/>
  <c r="AI4" i="73"/>
  <c r="AH4" i="73"/>
  <c r="AG4" i="73"/>
  <c r="AF4" i="73"/>
  <c r="AE4" i="73"/>
  <c r="AD4" i="73"/>
  <c r="AC4" i="73"/>
  <c r="AB4" i="73"/>
  <c r="AA4" i="73"/>
  <c r="Z4" i="73"/>
  <c r="Y4" i="73"/>
  <c r="X4" i="73"/>
  <c r="W4" i="73"/>
  <c r="V4" i="73"/>
  <c r="T4" i="73"/>
  <c r="S4" i="73"/>
  <c r="R4" i="73"/>
  <c r="Q4" i="73"/>
  <c r="P4" i="73"/>
  <c r="O4" i="73"/>
  <c r="N4" i="73"/>
  <c r="M4" i="73"/>
  <c r="L4" i="73"/>
  <c r="K4" i="73"/>
  <c r="J4" i="73"/>
  <c r="I4" i="73"/>
  <c r="H4" i="73"/>
  <c r="G4" i="73"/>
  <c r="F4" i="73"/>
  <c r="E4" i="73"/>
  <c r="BW4" i="72"/>
  <c r="BV4" i="72"/>
  <c r="BU4" i="72"/>
  <c r="BT4" i="72"/>
  <c r="BS4" i="72"/>
  <c r="BR4" i="72"/>
  <c r="BQ4" i="72"/>
  <c r="BP4" i="72"/>
  <c r="BO4" i="72"/>
  <c r="BN4" i="72"/>
  <c r="BM4" i="72"/>
  <c r="BL4" i="72"/>
  <c r="BK4" i="72"/>
  <c r="BJ4" i="72"/>
  <c r="BH4" i="72"/>
  <c r="BG4" i="72"/>
  <c r="BF4" i="72"/>
  <c r="BE4" i="72"/>
  <c r="BC4" i="72"/>
  <c r="BB4" i="72"/>
  <c r="BA4" i="72"/>
  <c r="AZ4" i="72"/>
  <c r="AY4" i="72"/>
  <c r="AX4" i="72"/>
  <c r="AW4" i="72"/>
  <c r="AV4" i="72"/>
  <c r="AU4" i="72"/>
  <c r="AT4" i="72"/>
  <c r="AS4" i="72"/>
  <c r="AQ4" i="72"/>
  <c r="AO4" i="72"/>
  <c r="AN4" i="72"/>
  <c r="AM4" i="72"/>
  <c r="AL4" i="72"/>
  <c r="AJ4" i="72"/>
  <c r="AI4" i="72"/>
  <c r="AH4" i="72"/>
  <c r="AG4" i="72"/>
  <c r="AF4" i="72"/>
  <c r="AE4" i="72"/>
  <c r="AD4" i="72"/>
  <c r="AC4" i="72"/>
  <c r="AB4" i="72"/>
  <c r="AA4" i="72"/>
  <c r="Z4" i="72"/>
  <c r="Y4" i="72"/>
  <c r="X4" i="72"/>
  <c r="W4" i="72"/>
  <c r="V4" i="72"/>
  <c r="T4" i="72"/>
  <c r="S4" i="72"/>
  <c r="R4" i="72"/>
  <c r="Q4" i="72"/>
  <c r="P4" i="72"/>
  <c r="O4" i="72"/>
  <c r="N4" i="72"/>
  <c r="M4" i="72"/>
  <c r="L4" i="72"/>
  <c r="K4" i="72"/>
  <c r="J4" i="72"/>
  <c r="I4" i="72"/>
  <c r="H4" i="72"/>
  <c r="G4" i="72"/>
  <c r="F4" i="72"/>
  <c r="E4" i="72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H4" i="7"/>
  <c r="BG4" i="7"/>
  <c r="BF4" i="7"/>
  <c r="BE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O4" i="7"/>
  <c r="AN4" i="7"/>
  <c r="AM4" i="7"/>
  <c r="AL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J74" i="5"/>
  <c r="F74" i="5"/>
  <c r="H74" i="5" s="1"/>
  <c r="J73" i="5"/>
  <c r="F73" i="5"/>
  <c r="H73" i="5"/>
  <c r="N73" i="5" s="1"/>
  <c r="J72" i="5"/>
  <c r="N72" i="5" s="1"/>
  <c r="F72" i="5"/>
  <c r="H72" i="5"/>
  <c r="J71" i="5"/>
  <c r="F71" i="5"/>
  <c r="H71" i="5" s="1"/>
  <c r="J70" i="5"/>
  <c r="F70" i="5"/>
  <c r="H70" i="5"/>
  <c r="J69" i="5"/>
  <c r="F69" i="5"/>
  <c r="H69" i="5"/>
  <c r="J68" i="5"/>
  <c r="F68" i="5"/>
  <c r="H68" i="5"/>
  <c r="J67" i="5"/>
  <c r="F67" i="5"/>
  <c r="H67" i="5"/>
  <c r="J66" i="5"/>
  <c r="F66" i="5"/>
  <c r="H66" i="5" s="1"/>
  <c r="N66" i="5" s="1"/>
  <c r="J65" i="5"/>
  <c r="F65" i="5"/>
  <c r="H65" i="5"/>
  <c r="J64" i="5"/>
  <c r="F64" i="5"/>
  <c r="H64" i="5" s="1"/>
  <c r="J63" i="5"/>
  <c r="F63" i="5"/>
  <c r="H63" i="5" s="1"/>
  <c r="J62" i="5"/>
  <c r="F62" i="5"/>
  <c r="H62" i="5"/>
  <c r="J61" i="5"/>
  <c r="F61" i="5"/>
  <c r="H61" i="5" s="1"/>
  <c r="J59" i="5"/>
  <c r="F59" i="5"/>
  <c r="H59" i="5"/>
  <c r="J58" i="5"/>
  <c r="F58" i="5"/>
  <c r="H58" i="5" s="1"/>
  <c r="I58" i="5" s="1"/>
  <c r="BF50" i="6" s="1"/>
  <c r="J57" i="5"/>
  <c r="F57" i="5"/>
  <c r="H57" i="5"/>
  <c r="J55" i="5"/>
  <c r="F55" i="5"/>
  <c r="H55" i="5" s="1"/>
  <c r="J54" i="5"/>
  <c r="F54" i="5"/>
  <c r="H54" i="5" s="1"/>
  <c r="N54" i="5" s="1"/>
  <c r="J53" i="5"/>
  <c r="F53" i="5"/>
  <c r="H53" i="5" s="1"/>
  <c r="L50" i="5"/>
  <c r="F50" i="5"/>
  <c r="H50" i="5" s="1"/>
  <c r="J49" i="5"/>
  <c r="F49" i="5"/>
  <c r="H49" i="5" s="1"/>
  <c r="N49" i="5" s="1"/>
  <c r="J48" i="5"/>
  <c r="F48" i="5"/>
  <c r="H48" i="5" s="1"/>
  <c r="J47" i="5"/>
  <c r="F47" i="5"/>
  <c r="H47" i="5"/>
  <c r="J46" i="5"/>
  <c r="F46" i="5"/>
  <c r="H46" i="5" s="1"/>
  <c r="J45" i="5"/>
  <c r="F45" i="5"/>
  <c r="H45" i="5" s="1"/>
  <c r="J44" i="5"/>
  <c r="F44" i="5"/>
  <c r="H44" i="5" s="1"/>
  <c r="J43" i="5"/>
  <c r="F43" i="5"/>
  <c r="H43" i="5"/>
  <c r="J42" i="5"/>
  <c r="I42" i="5" s="1"/>
  <c r="F42" i="5"/>
  <c r="H42" i="5" s="1"/>
  <c r="J41" i="5"/>
  <c r="F41" i="5"/>
  <c r="H41" i="5" s="1"/>
  <c r="J40" i="5"/>
  <c r="F40" i="5"/>
  <c r="H40" i="5"/>
  <c r="Q39" i="5"/>
  <c r="J39" i="5"/>
  <c r="F39" i="5"/>
  <c r="H39" i="5"/>
  <c r="F38" i="5"/>
  <c r="H38" i="5"/>
  <c r="J36" i="5"/>
  <c r="F36" i="5"/>
  <c r="H36" i="5" s="1"/>
  <c r="J35" i="5"/>
  <c r="E35" i="5"/>
  <c r="F35" i="5" s="1"/>
  <c r="H35" i="5"/>
  <c r="J34" i="5"/>
  <c r="E34" i="5"/>
  <c r="F34" i="5"/>
  <c r="H34" i="5" s="1"/>
  <c r="J33" i="5"/>
  <c r="E33" i="5"/>
  <c r="F33" i="5" s="1"/>
  <c r="H33" i="5"/>
  <c r="J32" i="5"/>
  <c r="E32" i="5"/>
  <c r="F32" i="5" s="1"/>
  <c r="H32" i="5" s="1"/>
  <c r="J31" i="5"/>
  <c r="D31" i="5"/>
  <c r="E31" i="5" s="1"/>
  <c r="F31" i="5"/>
  <c r="H31" i="5"/>
  <c r="J30" i="5"/>
  <c r="D30" i="5"/>
  <c r="E30" i="5" s="1"/>
  <c r="F30" i="5" s="1"/>
  <c r="H30" i="5" s="1"/>
  <c r="J29" i="5"/>
  <c r="D29" i="5"/>
  <c r="E29" i="5" s="1"/>
  <c r="F29" i="5" s="1"/>
  <c r="H29" i="5" s="1"/>
  <c r="N29" i="5" s="1"/>
  <c r="J28" i="5"/>
  <c r="D28" i="5"/>
  <c r="E28" i="5" s="1"/>
  <c r="F28" i="5" s="1"/>
  <c r="H28" i="5" s="1"/>
  <c r="J27" i="5"/>
  <c r="E27" i="5"/>
  <c r="F27" i="5" s="1"/>
  <c r="H27" i="5" s="1"/>
  <c r="N27" i="5" s="1"/>
  <c r="J26" i="5"/>
  <c r="D26" i="5"/>
  <c r="E26" i="5" s="1"/>
  <c r="F26" i="5" s="1"/>
  <c r="H26" i="5"/>
  <c r="J25" i="5"/>
  <c r="D25" i="5"/>
  <c r="E25" i="5"/>
  <c r="F25" i="5" s="1"/>
  <c r="H25" i="5" s="1"/>
  <c r="J24" i="5"/>
  <c r="E24" i="5"/>
  <c r="F24" i="5"/>
  <c r="H24" i="5" s="1"/>
  <c r="J23" i="5"/>
  <c r="D23" i="5"/>
  <c r="E23" i="5"/>
  <c r="F23" i="5"/>
  <c r="H23" i="5" s="1"/>
  <c r="J22" i="5"/>
  <c r="D22" i="5"/>
  <c r="E22" i="5"/>
  <c r="F22" i="5" s="1"/>
  <c r="H22" i="5" s="1"/>
  <c r="J21" i="5"/>
  <c r="D21" i="5"/>
  <c r="E21" i="5" s="1"/>
  <c r="F21" i="5" s="1"/>
  <c r="H21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D5" i="5"/>
  <c r="E4" i="5"/>
  <c r="H1" i="5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H6" i="1" a="1"/>
  <c r="H6" i="1" s="1"/>
  <c r="E6" i="1"/>
  <c r="B41" i="17"/>
  <c r="B40" i="17"/>
  <c r="B19" i="17"/>
  <c r="BQ2" i="17"/>
  <c r="BP2" i="17"/>
  <c r="BO2" i="17"/>
  <c r="BN2" i="17"/>
  <c r="BM2" i="17"/>
  <c r="BL2" i="17"/>
  <c r="BK2" i="17"/>
  <c r="BJ2" i="17"/>
  <c r="BI2" i="17"/>
  <c r="BH2" i="17"/>
  <c r="BG2" i="17"/>
  <c r="BF2" i="17"/>
  <c r="BE2" i="17"/>
  <c r="BD2" i="17"/>
  <c r="BC2" i="17"/>
  <c r="BB2" i="17"/>
  <c r="BA2" i="17"/>
  <c r="AZ2" i="17"/>
  <c r="AY2" i="17"/>
  <c r="AX2" i="17"/>
  <c r="AW2" i="17"/>
  <c r="AV2" i="17"/>
  <c r="AU2" i="17"/>
  <c r="AR2" i="17"/>
  <c r="AQ2" i="17"/>
  <c r="AP2" i="17"/>
  <c r="AO2" i="17"/>
  <c r="A5" i="102"/>
  <c r="A6" i="102"/>
  <c r="A7" i="102" s="1"/>
  <c r="A8" i="102" s="1"/>
  <c r="A9" i="102" s="1"/>
  <c r="A10" i="102" s="1"/>
  <c r="A11" i="102"/>
  <c r="A12" i="102"/>
  <c r="A13" i="102"/>
  <c r="A14" i="102" s="1"/>
  <c r="A15" i="102" s="1"/>
  <c r="A16" i="102" s="1"/>
  <c r="A17" i="102" s="1"/>
  <c r="A18" i="102" s="1"/>
  <c r="A19" i="102" s="1"/>
  <c r="A20" i="102" s="1"/>
  <c r="A21" i="102" s="1"/>
  <c r="A22" i="102" s="1"/>
  <c r="A23" i="102" s="1"/>
  <c r="A24" i="102" s="1"/>
  <c r="A25" i="102" s="1"/>
  <c r="A26" i="102" s="1"/>
  <c r="A27" i="102" s="1"/>
  <c r="A28" i="102" s="1"/>
  <c r="A29" i="102" s="1"/>
  <c r="A30" i="102" s="1"/>
  <c r="A31" i="102" s="1"/>
  <c r="A32" i="102" s="1"/>
  <c r="A33" i="102" s="1"/>
  <c r="A34" i="102" s="1"/>
  <c r="A35" i="102" s="1"/>
  <c r="A36" i="102" s="1"/>
  <c r="A37" i="102" s="1"/>
  <c r="A38" i="102" s="1"/>
  <c r="A39" i="102" s="1"/>
  <c r="A40" i="102" s="1"/>
  <c r="A41" i="102" s="1"/>
  <c r="A42" i="102" s="1"/>
  <c r="A43" i="102" s="1"/>
  <c r="A44" i="102" s="1"/>
  <c r="A45" i="102" s="1"/>
  <c r="A46" i="102" s="1"/>
  <c r="A47" i="102" s="1"/>
  <c r="A48" i="102" s="1"/>
  <c r="A49" i="102" s="1"/>
  <c r="A50" i="102" s="1"/>
  <c r="A51" i="102" s="1"/>
  <c r="A52" i="102" s="1"/>
  <c r="A53" i="102"/>
  <c r="A54" i="102"/>
  <c r="A55" i="102"/>
  <c r="A56" i="102" s="1"/>
  <c r="A57" i="102" s="1"/>
  <c r="A58" i="102" s="1"/>
  <c r="A59" i="102" s="1"/>
  <c r="A60" i="102" s="1"/>
  <c r="A61" i="102" s="1"/>
  <c r="A62" i="102" s="1"/>
  <c r="A63" i="102" s="1"/>
  <c r="A64" i="102" s="1"/>
  <c r="A65" i="102" s="1"/>
  <c r="A66" i="102" s="1"/>
  <c r="A67" i="102" s="1"/>
  <c r="A68" i="102" s="1"/>
  <c r="A69" i="102" s="1"/>
  <c r="A70" i="102" s="1"/>
  <c r="A71" i="102" s="1"/>
  <c r="A72" i="102" s="1"/>
  <c r="A73" i="102" s="1"/>
  <c r="A74" i="102" s="1"/>
  <c r="A75" i="102" s="1"/>
  <c r="A76" i="102" s="1"/>
  <c r="A77" i="102" s="1"/>
  <c r="A78" i="102" s="1"/>
  <c r="A79" i="102" s="1"/>
  <c r="A80" i="102" s="1"/>
  <c r="A81" i="102" s="1"/>
  <c r="A82" i="102" s="1"/>
  <c r="A83" i="102" s="1"/>
  <c r="A84" i="102" s="1"/>
  <c r="A85" i="102" s="1"/>
  <c r="A86" i="102" s="1"/>
  <c r="A87" i="102" s="1"/>
  <c r="A88" i="102" s="1"/>
  <c r="A89" i="102" s="1"/>
  <c r="A90" i="102" s="1"/>
  <c r="A91" i="102" s="1"/>
  <c r="A92" i="102" s="1"/>
  <c r="A93" i="102" s="1"/>
  <c r="A94" i="102" s="1"/>
  <c r="A95" i="102" s="1"/>
  <c r="A96" i="102" s="1"/>
  <c r="A97" i="102" s="1"/>
  <c r="A98" i="102" s="1"/>
  <c r="A99" i="102" s="1"/>
  <c r="A100" i="102" s="1"/>
  <c r="A101" i="102" s="1"/>
  <c r="A102" i="102" s="1"/>
  <c r="A103" i="102" s="1"/>
  <c r="A104" i="102" s="1"/>
  <c r="A105" i="102" s="1"/>
  <c r="A106" i="102" s="1"/>
  <c r="A107" i="102" s="1"/>
  <c r="BT55" i="52"/>
  <c r="BS55" i="52" s="1"/>
  <c r="AM55" i="52"/>
  <c r="AL55" i="52"/>
  <c r="AK55" i="52"/>
  <c r="AJ55" i="52" s="1"/>
  <c r="B55" i="52"/>
  <c r="BT54" i="52"/>
  <c r="BS54" i="52"/>
  <c r="AM54" i="52"/>
  <c r="AL54" i="52"/>
  <c r="AK54" i="52"/>
  <c r="AJ54" i="52" s="1"/>
  <c r="B54" i="52"/>
  <c r="BT53" i="52"/>
  <c r="BS53" i="52"/>
  <c r="AM53" i="52"/>
  <c r="AL53" i="52"/>
  <c r="AK53" i="52"/>
  <c r="AJ53" i="52"/>
  <c r="B53" i="52"/>
  <c r="D53" i="52" s="1"/>
  <c r="BT52" i="52"/>
  <c r="BS52" i="52"/>
  <c r="AM52" i="52"/>
  <c r="AL52" i="52"/>
  <c r="AK52" i="52"/>
  <c r="AJ52" i="52" s="1"/>
  <c r="B52" i="52"/>
  <c r="C52" i="52" s="1"/>
  <c r="BT51" i="52"/>
  <c r="BS51" i="52"/>
  <c r="AM51" i="52"/>
  <c r="AL51" i="52"/>
  <c r="AK51" i="52"/>
  <c r="AJ51" i="52"/>
  <c r="B51" i="52"/>
  <c r="D51" i="52" s="1"/>
  <c r="BT50" i="52"/>
  <c r="BS50" i="52"/>
  <c r="AM50" i="52"/>
  <c r="AL50" i="52"/>
  <c r="AK50" i="52"/>
  <c r="AJ50" i="52"/>
  <c r="B50" i="52"/>
  <c r="BT49" i="52"/>
  <c r="BS49" i="52"/>
  <c r="AM49" i="52"/>
  <c r="AL49" i="52"/>
  <c r="AK49" i="52"/>
  <c r="AJ49" i="52"/>
  <c r="B49" i="52"/>
  <c r="BT48" i="52"/>
  <c r="BS48" i="52"/>
  <c r="AM48" i="52"/>
  <c r="AL48" i="52"/>
  <c r="AK48" i="52"/>
  <c r="AJ48" i="52"/>
  <c r="B48" i="52"/>
  <c r="C48" i="52" s="1"/>
  <c r="BT47" i="52"/>
  <c r="BS47" i="52"/>
  <c r="AM47" i="52"/>
  <c r="AL47" i="52"/>
  <c r="AK47" i="52"/>
  <c r="AJ47" i="52"/>
  <c r="B47" i="52"/>
  <c r="D47" i="52" s="1"/>
  <c r="BT46" i="52"/>
  <c r="BS46" i="52"/>
  <c r="AM46" i="52"/>
  <c r="AL46" i="52"/>
  <c r="AK46" i="52"/>
  <c r="AJ46" i="52" s="1"/>
  <c r="B46" i="52"/>
  <c r="D46" i="52" s="1"/>
  <c r="BT45" i="52"/>
  <c r="BS45" i="52"/>
  <c r="AM45" i="52"/>
  <c r="AL45" i="52"/>
  <c r="AK45" i="52"/>
  <c r="AJ45" i="52"/>
  <c r="B45" i="52"/>
  <c r="D45" i="52" s="1"/>
  <c r="BT44" i="52"/>
  <c r="BS44" i="52"/>
  <c r="AM44" i="52"/>
  <c r="AL44" i="52"/>
  <c r="AK44" i="52"/>
  <c r="AJ44" i="52" s="1"/>
  <c r="B44" i="52"/>
  <c r="C44" i="52" s="1"/>
  <c r="BT43" i="52"/>
  <c r="BS43" i="52"/>
  <c r="AM43" i="52"/>
  <c r="AL43" i="52"/>
  <c r="AK43" i="52"/>
  <c r="AJ43" i="52"/>
  <c r="B43" i="52"/>
  <c r="D43" i="52" s="1"/>
  <c r="BT42" i="52"/>
  <c r="BS42" i="52"/>
  <c r="AM42" i="52"/>
  <c r="AL42" i="52"/>
  <c r="AK42" i="52"/>
  <c r="AJ42" i="52"/>
  <c r="B42" i="52"/>
  <c r="D42" i="52" s="1"/>
  <c r="BT41" i="52"/>
  <c r="BS41" i="52"/>
  <c r="AM41" i="52"/>
  <c r="AL41" i="52"/>
  <c r="AK41" i="52"/>
  <c r="AJ41" i="52" s="1"/>
  <c r="B41" i="52"/>
  <c r="C41" i="52" s="1"/>
  <c r="BT40" i="52"/>
  <c r="BS40" i="52"/>
  <c r="AM40" i="52"/>
  <c r="AL40" i="52"/>
  <c r="AK40" i="52"/>
  <c r="AJ40" i="52"/>
  <c r="B40" i="52"/>
  <c r="BT39" i="52"/>
  <c r="BS39" i="52" s="1"/>
  <c r="AM39" i="52"/>
  <c r="AL39" i="52"/>
  <c r="AK39" i="52"/>
  <c r="AJ39" i="52" s="1"/>
  <c r="B39" i="52"/>
  <c r="BT38" i="52"/>
  <c r="BS38" i="52" s="1"/>
  <c r="AM38" i="52"/>
  <c r="AL38" i="52"/>
  <c r="AK38" i="52"/>
  <c r="AJ38" i="52" s="1"/>
  <c r="B38" i="52"/>
  <c r="D38" i="52" s="1"/>
  <c r="BT37" i="52"/>
  <c r="BS37" i="52" s="1"/>
  <c r="AM37" i="52"/>
  <c r="AL37" i="52"/>
  <c r="AK37" i="52"/>
  <c r="AJ37" i="52" s="1"/>
  <c r="B37" i="52"/>
  <c r="D37" i="52"/>
  <c r="BT36" i="52"/>
  <c r="BS36" i="52" s="1"/>
  <c r="AM36" i="52"/>
  <c r="AL36" i="52"/>
  <c r="AK36" i="52"/>
  <c r="AJ36" i="52"/>
  <c r="B36" i="52"/>
  <c r="BT35" i="52"/>
  <c r="BS35" i="52"/>
  <c r="AM35" i="52"/>
  <c r="AL35" i="52"/>
  <c r="AK35" i="52"/>
  <c r="AJ35" i="52"/>
  <c r="B35" i="52"/>
  <c r="BT34" i="52"/>
  <c r="BS34" i="52" s="1"/>
  <c r="AM34" i="52"/>
  <c r="AL34" i="52"/>
  <c r="AK34" i="52"/>
  <c r="AJ34" i="52"/>
  <c r="B34" i="52"/>
  <c r="D34" i="52"/>
  <c r="BT33" i="52"/>
  <c r="BS33" i="52" s="1"/>
  <c r="BT32" i="52"/>
  <c r="BS32" i="52" s="1"/>
  <c r="AM32" i="52"/>
  <c r="AL32" i="52"/>
  <c r="AK32" i="52"/>
  <c r="AJ32" i="52"/>
  <c r="B32" i="52"/>
  <c r="D32" i="52"/>
  <c r="BT31" i="52"/>
  <c r="BS31" i="52" s="1"/>
  <c r="AM31" i="52"/>
  <c r="AL31" i="52"/>
  <c r="AK31" i="52"/>
  <c r="AJ31" i="52"/>
  <c r="B31" i="52"/>
  <c r="BT30" i="52"/>
  <c r="BS30" i="52"/>
  <c r="AM30" i="52"/>
  <c r="AL30" i="52"/>
  <c r="AK30" i="52"/>
  <c r="AJ30" i="52"/>
  <c r="B30" i="52"/>
  <c r="D30" i="52" s="1"/>
  <c r="C30" i="52"/>
  <c r="BT29" i="52"/>
  <c r="BS29" i="52"/>
  <c r="AM29" i="52"/>
  <c r="AL29" i="52"/>
  <c r="AK29" i="52"/>
  <c r="AJ29" i="52"/>
  <c r="B29" i="52"/>
  <c r="C29" i="52"/>
  <c r="BT28" i="52"/>
  <c r="BS28" i="52"/>
  <c r="AM28" i="52"/>
  <c r="AL28" i="52"/>
  <c r="AK28" i="52"/>
  <c r="AJ28" i="52"/>
  <c r="B28" i="52"/>
  <c r="C28" i="52" s="1"/>
  <c r="D28" i="52"/>
  <c r="BT27" i="52"/>
  <c r="BS27" i="52"/>
  <c r="AM27" i="52"/>
  <c r="AL27" i="52"/>
  <c r="AK27" i="52"/>
  <c r="AJ27" i="52"/>
  <c r="B27" i="52"/>
  <c r="C27" i="52" s="1"/>
  <c r="BT26" i="52"/>
  <c r="BS26" i="52" s="1"/>
  <c r="AM26" i="52"/>
  <c r="AL26" i="52"/>
  <c r="AK26" i="52"/>
  <c r="AJ26" i="52"/>
  <c r="B26" i="52"/>
  <c r="D26" i="52"/>
  <c r="BT25" i="52"/>
  <c r="BS25" i="52" s="1"/>
  <c r="AM25" i="52"/>
  <c r="AL25" i="52"/>
  <c r="AK25" i="52"/>
  <c r="AJ25" i="52"/>
  <c r="B25" i="52"/>
  <c r="C25" i="52"/>
  <c r="BT24" i="52"/>
  <c r="BS24" i="52" s="1"/>
  <c r="AM24" i="52"/>
  <c r="AL24" i="52"/>
  <c r="AK24" i="52"/>
  <c r="AJ24" i="52"/>
  <c r="B24" i="52"/>
  <c r="D24" i="52"/>
  <c r="BT23" i="52"/>
  <c r="BS23" i="52" s="1"/>
  <c r="AM23" i="52"/>
  <c r="AL23" i="52"/>
  <c r="AK23" i="52"/>
  <c r="AJ23" i="52"/>
  <c r="B23" i="52"/>
  <c r="BT22" i="52"/>
  <c r="BS22" i="52"/>
  <c r="AM22" i="52"/>
  <c r="AL22" i="52"/>
  <c r="AK22" i="52"/>
  <c r="AJ22" i="52" s="1"/>
  <c r="B22" i="52"/>
  <c r="D22" i="52" s="1"/>
  <c r="BT21" i="52"/>
  <c r="BS21" i="52"/>
  <c r="AM21" i="52"/>
  <c r="AL21" i="52"/>
  <c r="AK21" i="52"/>
  <c r="AJ21" i="52" s="1"/>
  <c r="B21" i="52"/>
  <c r="C21" i="52"/>
  <c r="BT20" i="52"/>
  <c r="BS20" i="52"/>
  <c r="AM20" i="52"/>
  <c r="AL20" i="52"/>
  <c r="AK20" i="52"/>
  <c r="AJ20" i="52" s="1"/>
  <c r="B20" i="52"/>
  <c r="D20" i="52" s="1"/>
  <c r="BT19" i="52"/>
  <c r="BS19" i="52" s="1"/>
  <c r="AM19" i="52"/>
  <c r="AL19" i="52"/>
  <c r="AK19" i="52"/>
  <c r="AJ19" i="52" s="1"/>
  <c r="B19" i="52"/>
  <c r="BT18" i="52"/>
  <c r="BS18" i="52" s="1"/>
  <c r="AM18" i="52"/>
  <c r="AL18" i="52"/>
  <c r="AK18" i="52"/>
  <c r="AJ18" i="52" s="1"/>
  <c r="B18" i="52"/>
  <c r="D18" i="52"/>
  <c r="BT17" i="52"/>
  <c r="BS17" i="52"/>
  <c r="AM17" i="52"/>
  <c r="AL17" i="52"/>
  <c r="AK17" i="52"/>
  <c r="AJ17" i="52" s="1"/>
  <c r="B17" i="52"/>
  <c r="C17" i="52"/>
  <c r="BT16" i="52"/>
  <c r="BS16" i="52" s="1"/>
  <c r="BT15" i="52"/>
  <c r="BS15" i="52" s="1"/>
  <c r="AM15" i="52"/>
  <c r="AL15" i="52"/>
  <c r="AK15" i="52"/>
  <c r="AJ15" i="52"/>
  <c r="B15" i="52"/>
  <c r="BT14" i="52"/>
  <c r="BS14" i="52" s="1"/>
  <c r="AM14" i="52"/>
  <c r="AL14" i="52"/>
  <c r="AK14" i="52"/>
  <c r="AJ14" i="52"/>
  <c r="B14" i="52"/>
  <c r="D14" i="52" s="1"/>
  <c r="BT13" i="52"/>
  <c r="BS13" i="52" s="1"/>
  <c r="BT12" i="52"/>
  <c r="BS12" i="52" s="1"/>
  <c r="AM12" i="52"/>
  <c r="AL12" i="52"/>
  <c r="AK12" i="52"/>
  <c r="AJ12" i="52" s="1"/>
  <c r="B12" i="52"/>
  <c r="C12" i="52" s="1"/>
  <c r="BT11" i="52"/>
  <c r="BS11" i="52" s="1"/>
  <c r="AM11" i="52"/>
  <c r="AL11" i="52"/>
  <c r="AK11" i="52"/>
  <c r="AJ11" i="52"/>
  <c r="B11" i="52"/>
  <c r="D11" i="52" s="1"/>
  <c r="C11" i="52"/>
  <c r="BT10" i="52"/>
  <c r="BS10" i="52" s="1"/>
  <c r="BT9" i="52"/>
  <c r="BS9" i="52"/>
  <c r="AM9" i="52"/>
  <c r="AL9" i="52"/>
  <c r="AK9" i="52"/>
  <c r="AJ9" i="52" s="1"/>
  <c r="B9" i="52"/>
  <c r="BT8" i="52"/>
  <c r="BS8" i="52"/>
  <c r="AM8" i="52"/>
  <c r="AL8" i="52"/>
  <c r="AK8" i="52"/>
  <c r="AJ8" i="52"/>
  <c r="B8" i="52"/>
  <c r="C8" i="52" s="1"/>
  <c r="BT7" i="52"/>
  <c r="BS7" i="52"/>
  <c r="AM7" i="52"/>
  <c r="AL7" i="52"/>
  <c r="AK7" i="52"/>
  <c r="AJ7" i="52"/>
  <c r="B7" i="52"/>
  <c r="D7" i="52" s="1"/>
  <c r="BT6" i="52"/>
  <c r="BS6" i="52"/>
  <c r="AM6" i="52"/>
  <c r="AL6" i="52"/>
  <c r="AK6" i="52"/>
  <c r="AJ6" i="52" s="1"/>
  <c r="B6" i="52"/>
  <c r="W18" i="35"/>
  <c r="B16" i="35"/>
  <c r="N16" i="35"/>
  <c r="B15" i="35"/>
  <c r="B14" i="35"/>
  <c r="N14" i="35" s="1"/>
  <c r="B13" i="35"/>
  <c r="M12" i="35"/>
  <c r="E12" i="35"/>
  <c r="B12" i="35"/>
  <c r="T12" i="35" s="1"/>
  <c r="L12" i="35"/>
  <c r="B11" i="35"/>
  <c r="B10" i="35"/>
  <c r="N10" i="35" s="1"/>
  <c r="B9" i="35"/>
  <c r="N9" i="35" s="1"/>
  <c r="B8" i="35"/>
  <c r="N8" i="35"/>
  <c r="B7" i="35"/>
  <c r="F7" i="35" s="1"/>
  <c r="S6" i="35"/>
  <c r="O6" i="35"/>
  <c r="M6" i="35"/>
  <c r="I6" i="35"/>
  <c r="G6" i="35"/>
  <c r="E6" i="35"/>
  <c r="C6" i="35"/>
  <c r="B6" i="35"/>
  <c r="M5" i="35"/>
  <c r="K5" i="35"/>
  <c r="B5" i="35"/>
  <c r="R5" i="35" s="1"/>
  <c r="B4" i="35"/>
  <c r="R4" i="35" s="1"/>
  <c r="B3" i="35"/>
  <c r="N3" i="35" s="1"/>
  <c r="C2" i="35"/>
  <c r="B2" i="35"/>
  <c r="H2" i="35" s="1"/>
  <c r="AG74" i="56"/>
  <c r="AG71" i="56"/>
  <c r="AG66" i="56"/>
  <c r="AG62" i="56"/>
  <c r="AG60" i="56"/>
  <c r="AG57" i="56"/>
  <c r="AG53" i="56"/>
  <c r="AG50" i="56"/>
  <c r="AG46" i="56"/>
  <c r="AG42" i="56"/>
  <c r="AG41" i="56" s="1"/>
  <c r="Z32" i="24"/>
  <c r="AG39" i="56"/>
  <c r="AG36" i="56"/>
  <c r="AG35" i="56"/>
  <c r="AG31" i="56"/>
  <c r="AG30" i="56"/>
  <c r="AG28" i="56"/>
  <c r="AG27" i="56"/>
  <c r="AG21" i="56"/>
  <c r="AG8" i="56"/>
  <c r="J81" i="56"/>
  <c r="AH79" i="56"/>
  <c r="AG79" i="56"/>
  <c r="AD79" i="56"/>
  <c r="F79" i="56"/>
  <c r="V79" i="56"/>
  <c r="AH78" i="56"/>
  <c r="AG78" i="56"/>
  <c r="AD78" i="56"/>
  <c r="F78" i="56"/>
  <c r="V78" i="56" s="1"/>
  <c r="AH77" i="56"/>
  <c r="AG77" i="56"/>
  <c r="AD77" i="56"/>
  <c r="F77" i="56"/>
  <c r="V77" i="56"/>
  <c r="AH76" i="56"/>
  <c r="AG76" i="56"/>
  <c r="AD76" i="56"/>
  <c r="F76" i="56"/>
  <c r="V76" i="56"/>
  <c r="AH75" i="56"/>
  <c r="AG75" i="56"/>
  <c r="AD75" i="56"/>
  <c r="F75" i="56"/>
  <c r="V75" i="56" s="1"/>
  <c r="AH74" i="56"/>
  <c r="AD74" i="56"/>
  <c r="F74" i="56"/>
  <c r="V74" i="56"/>
  <c r="AH73" i="56"/>
  <c r="AD73" i="56"/>
  <c r="F73" i="56"/>
  <c r="V73" i="56" s="1"/>
  <c r="AH72" i="56"/>
  <c r="AG72" i="56"/>
  <c r="AD72" i="56"/>
  <c r="F72" i="56"/>
  <c r="V72" i="56"/>
  <c r="AH71" i="56"/>
  <c r="AD71" i="56"/>
  <c r="F71" i="56"/>
  <c r="V71" i="56" s="1"/>
  <c r="AH70" i="56"/>
  <c r="AD70" i="56"/>
  <c r="F70" i="56"/>
  <c r="V70" i="56" s="1"/>
  <c r="AH69" i="56"/>
  <c r="AD69" i="56"/>
  <c r="F69" i="56"/>
  <c r="V69" i="56" s="1"/>
  <c r="AH68" i="56"/>
  <c r="AD68" i="56"/>
  <c r="F68" i="56"/>
  <c r="V68" i="56" s="1"/>
  <c r="AH67" i="56"/>
  <c r="AD67" i="56"/>
  <c r="F67" i="56"/>
  <c r="V67" i="56" s="1"/>
  <c r="AH66" i="56"/>
  <c r="AD66" i="56"/>
  <c r="F66" i="56"/>
  <c r="V66" i="56" s="1"/>
  <c r="AH65" i="56"/>
  <c r="AD65" i="56"/>
  <c r="F65" i="56"/>
  <c r="V65" i="56" s="1"/>
  <c r="AH64" i="56"/>
  <c r="AD64" i="56"/>
  <c r="F64" i="56"/>
  <c r="V64" i="56" s="1"/>
  <c r="AH63" i="56"/>
  <c r="AD63" i="56"/>
  <c r="F63" i="56"/>
  <c r="V63" i="56" s="1"/>
  <c r="AH62" i="56"/>
  <c r="AD62" i="56"/>
  <c r="F62" i="56"/>
  <c r="V62" i="56"/>
  <c r="AH61" i="56"/>
  <c r="AD61" i="56"/>
  <c r="F61" i="56"/>
  <c r="V61" i="56" s="1"/>
  <c r="AH60" i="56"/>
  <c r="AD60" i="56"/>
  <c r="F60" i="56"/>
  <c r="V60" i="56"/>
  <c r="AH59" i="56"/>
  <c r="AD59" i="56"/>
  <c r="F59" i="56"/>
  <c r="V59" i="56" s="1"/>
  <c r="AH58" i="56"/>
  <c r="AD58" i="56"/>
  <c r="F58" i="56"/>
  <c r="V58" i="56" s="1"/>
  <c r="AH57" i="56"/>
  <c r="AD57" i="56"/>
  <c r="F57" i="56"/>
  <c r="V57" i="56" s="1"/>
  <c r="AH56" i="56"/>
  <c r="AD56" i="56"/>
  <c r="F56" i="56"/>
  <c r="V56" i="56"/>
  <c r="AH55" i="56"/>
  <c r="AD55" i="56"/>
  <c r="F55" i="56"/>
  <c r="AH54" i="56"/>
  <c r="AD54" i="56"/>
  <c r="F54" i="56"/>
  <c r="V54" i="56" s="1"/>
  <c r="AH53" i="56"/>
  <c r="AD53" i="56"/>
  <c r="F53" i="56"/>
  <c r="AH52" i="56"/>
  <c r="AD52" i="56"/>
  <c r="F52" i="56"/>
  <c r="V52" i="56" s="1"/>
  <c r="AH51" i="56"/>
  <c r="AD51" i="56"/>
  <c r="F51" i="56"/>
  <c r="V51" i="56"/>
  <c r="AH50" i="56"/>
  <c r="AD50" i="56"/>
  <c r="F50" i="56"/>
  <c r="V50" i="56" s="1"/>
  <c r="AH49" i="56"/>
  <c r="AD49" i="56"/>
  <c r="F49" i="56"/>
  <c r="V49" i="56"/>
  <c r="AH48" i="56"/>
  <c r="AD48" i="56"/>
  <c r="F48" i="56"/>
  <c r="V48" i="56" s="1"/>
  <c r="AH47" i="56"/>
  <c r="AD47" i="56"/>
  <c r="F47" i="56"/>
  <c r="V47" i="56"/>
  <c r="AH46" i="56"/>
  <c r="AD46" i="56"/>
  <c r="F46" i="56"/>
  <c r="V46" i="56" s="1"/>
  <c r="AH45" i="56"/>
  <c r="AD45" i="56"/>
  <c r="F45" i="56"/>
  <c r="V45" i="56"/>
  <c r="AH44" i="56"/>
  <c r="AD44" i="56"/>
  <c r="F44" i="56"/>
  <c r="AH43" i="56"/>
  <c r="AD43" i="56"/>
  <c r="F43" i="56"/>
  <c r="AH42" i="56"/>
  <c r="AD42" i="56"/>
  <c r="F42" i="56"/>
  <c r="AH40" i="56"/>
  <c r="AD40" i="56"/>
  <c r="F40" i="56"/>
  <c r="V40" i="56" s="1"/>
  <c r="AH39" i="56"/>
  <c r="AD39" i="56"/>
  <c r="F39" i="56"/>
  <c r="V39" i="56" s="1"/>
  <c r="AH38" i="56"/>
  <c r="AD38" i="56"/>
  <c r="F38" i="56"/>
  <c r="V38" i="56"/>
  <c r="AH37" i="56"/>
  <c r="AD37" i="56"/>
  <c r="F37" i="56"/>
  <c r="V37" i="56" s="1"/>
  <c r="AH36" i="56"/>
  <c r="AD36" i="56"/>
  <c r="F36" i="56"/>
  <c r="V36" i="56"/>
  <c r="AH35" i="56"/>
  <c r="AD35" i="56"/>
  <c r="F35" i="56"/>
  <c r="AH34" i="56"/>
  <c r="AD34" i="56"/>
  <c r="F34" i="56"/>
  <c r="V34" i="56"/>
  <c r="AH33" i="56"/>
  <c r="AD33" i="56"/>
  <c r="F33" i="56"/>
  <c r="AH32" i="56"/>
  <c r="AG32" i="56"/>
  <c r="AD32" i="56"/>
  <c r="F32" i="56"/>
  <c r="AD31" i="56"/>
  <c r="F31" i="56"/>
  <c r="AH30" i="56"/>
  <c r="AD30" i="56"/>
  <c r="F30" i="56"/>
  <c r="AH29" i="56"/>
  <c r="AD29" i="56"/>
  <c r="F29" i="56"/>
  <c r="AH28" i="56"/>
  <c r="AD28" i="56"/>
  <c r="F28" i="56"/>
  <c r="AH27" i="56"/>
  <c r="AD27" i="56"/>
  <c r="F27" i="56"/>
  <c r="V27" i="56" s="1"/>
  <c r="AH26" i="56"/>
  <c r="AD26" i="56"/>
  <c r="F26" i="56"/>
  <c r="AH25" i="56"/>
  <c r="AH24" i="56"/>
  <c r="AD25" i="56"/>
  <c r="F25" i="56"/>
  <c r="AH23" i="56"/>
  <c r="AD23" i="56"/>
  <c r="F23" i="56"/>
  <c r="V23" i="56"/>
  <c r="AH22" i="56"/>
  <c r="AG22" i="56"/>
  <c r="AD22" i="56"/>
  <c r="F22" i="56"/>
  <c r="V22" i="56" s="1"/>
  <c r="AH21" i="56"/>
  <c r="AD21" i="56"/>
  <c r="F21" i="56"/>
  <c r="V21" i="56"/>
  <c r="AH20" i="56"/>
  <c r="AD20" i="56"/>
  <c r="F20" i="56"/>
  <c r="V20" i="56" s="1"/>
  <c r="AH19" i="56"/>
  <c r="AG19" i="56"/>
  <c r="AD19" i="56"/>
  <c r="F19" i="56"/>
  <c r="V19" i="56"/>
  <c r="AH18" i="56"/>
  <c r="AH15" i="56" s="1"/>
  <c r="AG18" i="56"/>
  <c r="AD18" i="56"/>
  <c r="F18" i="56"/>
  <c r="V18" i="56" s="1"/>
  <c r="AH17" i="56"/>
  <c r="AG17" i="56"/>
  <c r="AD17" i="56"/>
  <c r="F17" i="56"/>
  <c r="V17" i="56" s="1"/>
  <c r="AH16" i="56"/>
  <c r="AG16" i="56"/>
  <c r="AG15" i="56" s="1"/>
  <c r="AD16" i="56"/>
  <c r="F16" i="56"/>
  <c r="AH14" i="56"/>
  <c r="AH12" i="56" s="1"/>
  <c r="AG14" i="56"/>
  <c r="AD14" i="56"/>
  <c r="F14" i="56"/>
  <c r="V14" i="56" s="1"/>
  <c r="AH13" i="56"/>
  <c r="AG13" i="56"/>
  <c r="AG12" i="56" s="1"/>
  <c r="AD13" i="56"/>
  <c r="F13" i="56"/>
  <c r="AH11" i="56"/>
  <c r="AG11" i="56"/>
  <c r="AD11" i="56"/>
  <c r="F11" i="56"/>
  <c r="AH10" i="56"/>
  <c r="AD10" i="56"/>
  <c r="F10" i="56"/>
  <c r="AH9" i="56"/>
  <c r="AG9" i="56"/>
  <c r="AD9" i="56"/>
  <c r="F9" i="56"/>
  <c r="AH8" i="56"/>
  <c r="AD8" i="56"/>
  <c r="F8" i="56"/>
  <c r="AH7" i="56"/>
  <c r="AG7" i="56"/>
  <c r="AD7" i="56"/>
  <c r="F7" i="56"/>
  <c r="A7" i="56"/>
  <c r="AH6" i="56"/>
  <c r="AB6" i="56"/>
  <c r="AD6" i="56"/>
  <c r="F6" i="56"/>
  <c r="G3" i="56"/>
  <c r="G77" i="56"/>
  <c r="C77" i="69"/>
  <c r="D76" i="69"/>
  <c r="C73" i="69"/>
  <c r="L45" i="70"/>
  <c r="D72" i="69"/>
  <c r="C69" i="69"/>
  <c r="D68" i="69"/>
  <c r="C65" i="69"/>
  <c r="C66" i="69" s="1"/>
  <c r="D64" i="69"/>
  <c r="C61" i="69"/>
  <c r="L38" i="70" s="1"/>
  <c r="D60" i="69"/>
  <c r="C57" i="69"/>
  <c r="D56" i="69"/>
  <c r="C48" i="69"/>
  <c r="C49" i="69"/>
  <c r="D47" i="69"/>
  <c r="C44" i="69"/>
  <c r="C45" i="69" s="1"/>
  <c r="D43" i="69"/>
  <c r="D44" i="69" s="1"/>
  <c r="D45" i="69" s="1"/>
  <c r="C40" i="69"/>
  <c r="D39" i="69"/>
  <c r="C36" i="69"/>
  <c r="C37" i="69"/>
  <c r="D35" i="69"/>
  <c r="C32" i="69"/>
  <c r="C33" i="69"/>
  <c r="D31" i="69"/>
  <c r="C23" i="69"/>
  <c r="C24" i="69"/>
  <c r="D22" i="69"/>
  <c r="C19" i="69"/>
  <c r="C20" i="69" s="1"/>
  <c r="D18" i="69"/>
  <c r="C15" i="69"/>
  <c r="C16" i="69"/>
  <c r="D14" i="69"/>
  <c r="D51" i="71"/>
  <c r="D59" i="71"/>
  <c r="D50" i="71"/>
  <c r="D49" i="71"/>
  <c r="D48" i="71"/>
  <c r="D47" i="71"/>
  <c r="D46" i="71"/>
  <c r="D45" i="71"/>
  <c r="D44" i="71"/>
  <c r="D43" i="71"/>
  <c r="D42" i="71"/>
  <c r="D41" i="71"/>
  <c r="D40" i="71"/>
  <c r="B15" i="71"/>
  <c r="B27" i="71"/>
  <c r="B39" i="71"/>
  <c r="B51" i="71" s="1"/>
  <c r="B63" i="71" s="1"/>
  <c r="B75" i="71" s="1"/>
  <c r="B87" i="71" s="1"/>
  <c r="B99" i="71" s="1"/>
  <c r="B111" i="71" s="1"/>
  <c r="B123" i="71"/>
  <c r="B135" i="71" s="1"/>
  <c r="B147" i="71" s="1"/>
  <c r="B159" i="71" s="1"/>
  <c r="B171" i="71" s="1"/>
  <c r="B183" i="71" s="1"/>
  <c r="B195" i="71" s="1"/>
  <c r="B207" i="71" s="1"/>
  <c r="B219" i="71" s="1"/>
  <c r="B231" i="71" s="1"/>
  <c r="Z54" i="70"/>
  <c r="B2342" i="53"/>
  <c r="F27" i="70"/>
  <c r="B2821" i="53"/>
  <c r="B2761" i="53"/>
  <c r="B2581" i="53"/>
  <c r="B2461" i="53"/>
  <c r="F26" i="70"/>
  <c r="F25" i="70"/>
  <c r="F24" i="70"/>
  <c r="G24" i="70" s="1"/>
  <c r="B357" i="53" s="1"/>
  <c r="F23" i="70"/>
  <c r="F22" i="70"/>
  <c r="F21" i="70"/>
  <c r="F20" i="70"/>
  <c r="F28" i="70"/>
  <c r="G28" i="70" s="1"/>
  <c r="B473" i="53" s="1"/>
  <c r="F29" i="70"/>
  <c r="F8" i="70"/>
  <c r="B1933" i="53"/>
  <c r="F10" i="70"/>
  <c r="H4" i="70"/>
  <c r="AA51" i="24"/>
  <c r="Z51" i="24"/>
  <c r="Y51" i="24"/>
  <c r="AA50" i="24"/>
  <c r="Y50" i="24"/>
  <c r="AA49" i="24"/>
  <c r="Z49" i="24"/>
  <c r="F49" i="24"/>
  <c r="AA48" i="24"/>
  <c r="F48" i="24"/>
  <c r="AA47" i="24"/>
  <c r="F47" i="24"/>
  <c r="AA46" i="24"/>
  <c r="F46" i="24"/>
  <c r="AA45" i="24"/>
  <c r="F45" i="24"/>
  <c r="AA44" i="24"/>
  <c r="F44" i="24"/>
  <c r="AA43" i="24"/>
  <c r="F43" i="24"/>
  <c r="AA42" i="24"/>
  <c r="F42" i="24"/>
  <c r="AA41" i="24"/>
  <c r="F41" i="24"/>
  <c r="AA40" i="24"/>
  <c r="F40" i="24"/>
  <c r="AA39" i="24"/>
  <c r="F39" i="24"/>
  <c r="AA38" i="24"/>
  <c r="F38" i="24"/>
  <c r="AA37" i="24"/>
  <c r="F37" i="24"/>
  <c r="AA36" i="24"/>
  <c r="F36" i="24"/>
  <c r="AA35" i="24"/>
  <c r="F35" i="24"/>
  <c r="AA34" i="24"/>
  <c r="F34" i="24"/>
  <c r="AA32" i="24"/>
  <c r="F32" i="24"/>
  <c r="AA31" i="24"/>
  <c r="F31" i="24"/>
  <c r="AA30" i="24"/>
  <c r="F30" i="24"/>
  <c r="AA29" i="24"/>
  <c r="F29" i="24"/>
  <c r="AA28" i="24"/>
  <c r="F28" i="24"/>
  <c r="AA27" i="24"/>
  <c r="F27" i="24"/>
  <c r="AA26" i="24"/>
  <c r="F26" i="24"/>
  <c r="AA25" i="24"/>
  <c r="Z25" i="24"/>
  <c r="F25" i="24"/>
  <c r="F24" i="24"/>
  <c r="AA23" i="24"/>
  <c r="F23" i="24"/>
  <c r="AA22" i="24"/>
  <c r="F22" i="24"/>
  <c r="AA21" i="24"/>
  <c r="AA17" i="24" s="1"/>
  <c r="F21" i="24"/>
  <c r="AA20" i="24"/>
  <c r="F20" i="24"/>
  <c r="AA19" i="24"/>
  <c r="F19" i="24"/>
  <c r="AA18" i="24"/>
  <c r="F18" i="24"/>
  <c r="AA16" i="24"/>
  <c r="Z16" i="24"/>
  <c r="F16" i="24"/>
  <c r="AA15" i="24"/>
  <c r="Z15" i="24"/>
  <c r="F15" i="24"/>
  <c r="AA14" i="24"/>
  <c r="Z14" i="24"/>
  <c r="Z13" i="24" s="1"/>
  <c r="F14" i="24"/>
  <c r="AA12" i="24"/>
  <c r="Z12" i="24"/>
  <c r="F12" i="24"/>
  <c r="S12" i="24" s="1"/>
  <c r="AA11" i="24"/>
  <c r="Z11" i="24"/>
  <c r="Z10" i="24" s="1"/>
  <c r="F11" i="24"/>
  <c r="AA9" i="24"/>
  <c r="F9" i="24"/>
  <c r="AA8" i="24"/>
  <c r="AA5" i="24" s="1"/>
  <c r="Z8" i="24"/>
  <c r="F8" i="24"/>
  <c r="AA7" i="24"/>
  <c r="F7" i="24"/>
  <c r="AA6" i="24"/>
  <c r="Z6" i="24"/>
  <c r="Z5" i="24" s="1"/>
  <c r="F6" i="24"/>
  <c r="G3" i="24"/>
  <c r="B2966" i="53"/>
  <c r="B2953" i="53"/>
  <c r="B2952" i="53"/>
  <c r="B2951" i="53"/>
  <c r="B2949" i="53"/>
  <c r="B2948" i="53"/>
  <c r="B2945" i="53"/>
  <c r="B2907" i="53"/>
  <c r="B2894" i="53"/>
  <c r="B2893" i="53"/>
  <c r="B2892" i="53"/>
  <c r="B2890" i="53"/>
  <c r="B2886" i="53"/>
  <c r="B2847" i="53"/>
  <c r="B2834" i="53"/>
  <c r="B2833" i="53"/>
  <c r="B2832" i="53"/>
  <c r="B2830" i="53"/>
  <c r="B2829" i="53"/>
  <c r="B2826" i="53"/>
  <c r="B2788" i="53"/>
  <c r="B2775" i="53"/>
  <c r="B2774" i="53"/>
  <c r="B2773" i="53"/>
  <c r="B2771" i="53"/>
  <c r="B2770" i="53"/>
  <c r="B2769" i="53"/>
  <c r="E2794" i="53" s="1"/>
  <c r="B2767" i="53"/>
  <c r="B2728" i="53"/>
  <c r="B2715" i="53"/>
  <c r="B2714" i="53"/>
  <c r="B2713" i="53"/>
  <c r="B2711" i="53"/>
  <c r="B2710" i="53"/>
  <c r="B2709" i="53"/>
  <c r="E2734" i="53" s="1"/>
  <c r="B2707" i="53"/>
  <c r="B2668" i="53"/>
  <c r="B2655" i="53"/>
  <c r="B2654" i="53"/>
  <c r="B2653" i="53"/>
  <c r="B2651" i="53"/>
  <c r="B2650" i="53"/>
  <c r="B2647" i="53"/>
  <c r="B2608" i="53"/>
  <c r="B2595" i="53"/>
  <c r="B2594" i="53"/>
  <c r="B2593" i="53"/>
  <c r="B2591" i="53"/>
  <c r="B2590" i="53"/>
  <c r="B2587" i="53"/>
  <c r="B2548" i="53"/>
  <c r="B2535" i="53"/>
  <c r="B2534" i="53"/>
  <c r="B2533" i="53"/>
  <c r="B2531" i="53"/>
  <c r="B2530" i="53"/>
  <c r="B2529" i="53"/>
  <c r="E2554" i="53" s="1"/>
  <c r="B2527" i="53"/>
  <c r="B2488" i="53"/>
  <c r="B2475" i="53"/>
  <c r="B2474" i="53"/>
  <c r="B2473" i="53"/>
  <c r="B2471" i="53"/>
  <c r="B2470" i="53"/>
  <c r="B2469" i="53"/>
  <c r="E2494" i="53" s="1"/>
  <c r="B2467" i="53"/>
  <c r="B2415" i="53"/>
  <c r="B2414" i="53"/>
  <c r="B2413" i="53"/>
  <c r="B2411" i="53"/>
  <c r="B2410" i="53"/>
  <c r="B2409" i="53"/>
  <c r="E2434" i="53" s="1"/>
  <c r="B2407" i="53"/>
  <c r="B2369" i="53"/>
  <c r="B2356" i="53"/>
  <c r="B2355" i="53"/>
  <c r="B2354" i="53"/>
  <c r="B2352" i="53"/>
  <c r="B2351" i="53"/>
  <c r="B2350" i="53"/>
  <c r="E2375" i="53" s="1"/>
  <c r="B2348" i="53"/>
  <c r="B2309" i="53"/>
  <c r="B2296" i="53"/>
  <c r="B2295" i="53"/>
  <c r="B2294" i="53"/>
  <c r="B2292" i="53"/>
  <c r="B2291" i="53"/>
  <c r="B2290" i="53"/>
  <c r="E2315" i="53" s="1"/>
  <c r="B2288" i="53"/>
  <c r="B2237" i="53"/>
  <c r="B2236" i="53"/>
  <c r="B2235" i="53"/>
  <c r="B2233" i="53"/>
  <c r="B2232" i="53"/>
  <c r="B2231" i="53"/>
  <c r="E2256" i="53" s="1"/>
  <c r="B2229" i="53"/>
  <c r="B2191" i="53"/>
  <c r="B2178" i="53"/>
  <c r="B2177" i="53"/>
  <c r="B2176" i="53"/>
  <c r="B2174" i="53"/>
  <c r="B2170" i="53"/>
  <c r="B2133" i="53"/>
  <c r="B2120" i="53"/>
  <c r="B2119" i="53"/>
  <c r="B2118" i="53"/>
  <c r="B2116" i="53"/>
  <c r="B2112" i="53"/>
  <c r="B2075" i="53"/>
  <c r="B2062" i="53"/>
  <c r="B2061" i="53"/>
  <c r="B2060" i="53"/>
  <c r="B2058" i="53"/>
  <c r="B2057" i="53"/>
  <c r="B2056" i="53"/>
  <c r="E2081" i="53" s="1"/>
  <c r="B2054" i="53"/>
  <c r="B2017" i="53"/>
  <c r="B2004" i="53"/>
  <c r="B2003" i="53"/>
  <c r="B2002" i="53"/>
  <c r="B2000" i="53"/>
  <c r="B1999" i="53"/>
  <c r="B1998" i="53"/>
  <c r="E2023" i="53" s="1"/>
  <c r="B1996" i="53"/>
  <c r="B1959" i="53"/>
  <c r="B1946" i="53"/>
  <c r="B1945" i="53"/>
  <c r="B1944" i="53"/>
  <c r="B1942" i="53"/>
  <c r="B1941" i="53"/>
  <c r="B1940" i="53"/>
  <c r="E1965" i="53" s="1"/>
  <c r="B1938" i="53"/>
  <c r="B1900" i="53"/>
  <c r="B1887" i="53"/>
  <c r="B1886" i="53"/>
  <c r="B1885" i="53"/>
  <c r="B1883" i="53"/>
  <c r="B1882" i="53"/>
  <c r="B1881" i="53"/>
  <c r="E1906" i="53" s="1"/>
  <c r="B1879" i="53"/>
  <c r="B1841" i="53"/>
  <c r="B1828" i="53"/>
  <c r="B1827" i="53"/>
  <c r="B1826" i="53"/>
  <c r="B1824" i="53"/>
  <c r="B1823" i="53"/>
  <c r="B1822" i="53"/>
  <c r="E1847" i="53" s="1"/>
  <c r="B1820" i="53"/>
  <c r="B1781" i="53"/>
  <c r="B1768" i="53"/>
  <c r="B1767" i="53"/>
  <c r="B1766" i="53"/>
  <c r="B1764" i="53"/>
  <c r="B1763" i="53"/>
  <c r="B1760" i="53"/>
  <c r="B1721" i="53"/>
  <c r="B1708" i="53"/>
  <c r="B1707" i="53"/>
  <c r="B1706" i="53"/>
  <c r="B1704" i="53"/>
  <c r="B1703" i="53"/>
  <c r="B1702" i="53"/>
  <c r="E1727" i="53" s="1"/>
  <c r="B1700" i="53"/>
  <c r="B1661" i="53"/>
  <c r="B1648" i="53"/>
  <c r="B1647" i="53"/>
  <c r="B1646" i="53"/>
  <c r="B1644" i="53"/>
  <c r="B1643" i="53"/>
  <c r="B1642" i="53"/>
  <c r="E1667" i="53" s="1"/>
  <c r="B1640" i="53"/>
  <c r="B1602" i="53"/>
  <c r="B1589" i="53"/>
  <c r="B1588" i="53"/>
  <c r="B1587" i="53"/>
  <c r="B1585" i="53"/>
  <c r="B1584" i="53"/>
  <c r="B1583" i="53"/>
  <c r="E1608" i="53" s="1"/>
  <c r="B1581" i="53"/>
  <c r="B1542" i="53"/>
  <c r="B1529" i="53"/>
  <c r="B1528" i="53"/>
  <c r="B1527" i="53"/>
  <c r="B1525" i="53"/>
  <c r="B1524" i="53"/>
  <c r="B1523" i="53"/>
  <c r="E1548" i="53" s="1"/>
  <c r="B1521" i="53"/>
  <c r="B1483" i="53"/>
  <c r="B1470" i="53"/>
  <c r="B1469" i="53"/>
  <c r="B1468" i="53"/>
  <c r="B1466" i="53"/>
  <c r="B1465" i="53"/>
  <c r="B1464" i="53"/>
  <c r="E1489" i="53" s="1"/>
  <c r="B1462" i="53"/>
  <c r="B1423" i="53"/>
  <c r="B1410" i="53"/>
  <c r="B1409" i="53"/>
  <c r="B1408" i="53"/>
  <c r="B1406" i="53"/>
  <c r="B1405" i="53"/>
  <c r="B1404" i="53"/>
  <c r="E1429" i="53" s="1"/>
  <c r="B1402" i="53"/>
  <c r="B1363" i="53"/>
  <c r="B1350" i="53"/>
  <c r="B1349" i="53"/>
  <c r="B1348" i="53"/>
  <c r="B1346" i="53"/>
  <c r="B1345" i="53"/>
  <c r="B1344" i="53"/>
  <c r="E1369" i="53" s="1"/>
  <c r="B1342" i="53"/>
  <c r="B1304" i="53"/>
  <c r="B1291" i="53"/>
  <c r="B1290" i="53"/>
  <c r="B1289" i="53"/>
  <c r="B1287" i="53"/>
  <c r="B1286" i="53"/>
  <c r="B1285" i="53"/>
  <c r="E1310" i="53" s="1"/>
  <c r="B1283" i="53"/>
  <c r="B1223" i="53"/>
  <c r="B1164" i="53"/>
  <c r="B1106" i="53"/>
  <c r="B1048" i="53"/>
  <c r="B990" i="53"/>
  <c r="B932" i="53"/>
  <c r="B874" i="53"/>
  <c r="B816" i="53"/>
  <c r="B758" i="53"/>
  <c r="B700" i="53"/>
  <c r="B642" i="53"/>
  <c r="B584" i="53"/>
  <c r="B526" i="53"/>
  <c r="B468" i="53"/>
  <c r="B410" i="53"/>
  <c r="B352" i="53"/>
  <c r="B294" i="53"/>
  <c r="B236" i="53"/>
  <c r="B178" i="53"/>
  <c r="B120" i="53"/>
  <c r="B60" i="53"/>
  <c r="B10" i="53"/>
  <c r="B9" i="53"/>
  <c r="B8" i="53"/>
  <c r="B6" i="53"/>
  <c r="B2" i="53"/>
  <c r="F2" i="3"/>
  <c r="E1" i="3"/>
  <c r="L35" i="70"/>
  <c r="L36" i="70"/>
  <c r="L10" i="70"/>
  <c r="L11" i="70"/>
  <c r="C78" i="69"/>
  <c r="L40" i="70"/>
  <c r="L33" i="70"/>
  <c r="B709" i="53"/>
  <c r="L9" i="70"/>
  <c r="N52" i="5"/>
  <c r="L51" i="70"/>
  <c r="B40" i="53" s="1"/>
  <c r="B3030" i="53"/>
  <c r="B3060" i="53"/>
  <c r="B3090" i="53"/>
  <c r="B3120" i="53"/>
  <c r="C70" i="69"/>
  <c r="L17" i="70"/>
  <c r="B912" i="53" s="1"/>
  <c r="E70" i="9"/>
  <c r="E71" i="9"/>
  <c r="E72" i="9"/>
  <c r="E73" i="9"/>
  <c r="E74" i="9"/>
  <c r="I70" i="9"/>
  <c r="I71" i="9"/>
  <c r="I72" i="9"/>
  <c r="I73" i="9"/>
  <c r="I74" i="9"/>
  <c r="M70" i="9"/>
  <c r="M71" i="9"/>
  <c r="M72" i="9"/>
  <c r="M73" i="9"/>
  <c r="M74" i="9"/>
  <c r="Q70" i="9"/>
  <c r="Q71" i="9"/>
  <c r="Q72" i="9"/>
  <c r="Q73" i="9"/>
  <c r="Q74" i="9"/>
  <c r="E75" i="9"/>
  <c r="E76" i="9"/>
  <c r="E77" i="9"/>
  <c r="E78" i="9"/>
  <c r="I75" i="9"/>
  <c r="I76" i="9"/>
  <c r="I77" i="9"/>
  <c r="I78" i="9"/>
  <c r="M75" i="9"/>
  <c r="M76" i="9"/>
  <c r="M77" i="9"/>
  <c r="M78" i="9"/>
  <c r="Q75" i="9"/>
  <c r="Q76" i="9"/>
  <c r="Q77" i="9"/>
  <c r="Q78" i="9"/>
  <c r="E79" i="9"/>
  <c r="E80" i="9"/>
  <c r="E81" i="9"/>
  <c r="E82" i="9"/>
  <c r="E83" i="9"/>
  <c r="I79" i="9"/>
  <c r="I80" i="9"/>
  <c r="I81" i="9"/>
  <c r="I82" i="9"/>
  <c r="I83" i="9"/>
  <c r="M79" i="9"/>
  <c r="M80" i="9"/>
  <c r="M81" i="9"/>
  <c r="M82" i="9"/>
  <c r="M83" i="9"/>
  <c r="Q79" i="9"/>
  <c r="Q80" i="9"/>
  <c r="Q81" i="9"/>
  <c r="Q82" i="9"/>
  <c r="Q83" i="9"/>
  <c r="F70" i="9"/>
  <c r="F71" i="9"/>
  <c r="F72" i="9"/>
  <c r="F73" i="9"/>
  <c r="F74" i="9"/>
  <c r="J70" i="9"/>
  <c r="J71" i="9"/>
  <c r="J72" i="9"/>
  <c r="J73" i="9"/>
  <c r="J74" i="9"/>
  <c r="N70" i="9"/>
  <c r="N71" i="9"/>
  <c r="N72" i="9"/>
  <c r="N73" i="9"/>
  <c r="N74" i="9"/>
  <c r="R70" i="9"/>
  <c r="R71" i="9"/>
  <c r="R72" i="9"/>
  <c r="R73" i="9"/>
  <c r="R74" i="9"/>
  <c r="F75" i="9"/>
  <c r="F76" i="9"/>
  <c r="F77" i="9"/>
  <c r="F78" i="9"/>
  <c r="J75" i="9"/>
  <c r="J76" i="9"/>
  <c r="J77" i="9"/>
  <c r="J78" i="9"/>
  <c r="N75" i="9"/>
  <c r="N76" i="9"/>
  <c r="N77" i="9"/>
  <c r="N78" i="9"/>
  <c r="R75" i="9"/>
  <c r="R76" i="9"/>
  <c r="R77" i="9"/>
  <c r="R78" i="9"/>
  <c r="F79" i="9"/>
  <c r="F80" i="9"/>
  <c r="F81" i="9"/>
  <c r="F82" i="9"/>
  <c r="F83" i="9"/>
  <c r="J79" i="9"/>
  <c r="J80" i="9"/>
  <c r="J81" i="9"/>
  <c r="J82" i="9"/>
  <c r="J83" i="9"/>
  <c r="N79" i="9"/>
  <c r="N80" i="9"/>
  <c r="N81" i="9"/>
  <c r="N82" i="9"/>
  <c r="N83" i="9"/>
  <c r="R79" i="9"/>
  <c r="R80" i="9"/>
  <c r="R81" i="9"/>
  <c r="R82" i="9"/>
  <c r="R83" i="9"/>
  <c r="G70" i="9"/>
  <c r="G71" i="9"/>
  <c r="G72" i="9"/>
  <c r="G73" i="9"/>
  <c r="G74" i="9"/>
  <c r="K70" i="9"/>
  <c r="K71" i="9"/>
  <c r="K72" i="9"/>
  <c r="K73" i="9"/>
  <c r="K74" i="9"/>
  <c r="O70" i="9"/>
  <c r="O71" i="9"/>
  <c r="O72" i="9"/>
  <c r="O73" i="9"/>
  <c r="O74" i="9"/>
  <c r="S70" i="9"/>
  <c r="S71" i="9"/>
  <c r="S72" i="9"/>
  <c r="S73" i="9"/>
  <c r="S74" i="9"/>
  <c r="G75" i="9"/>
  <c r="G76" i="9"/>
  <c r="G77" i="9"/>
  <c r="G78" i="9"/>
  <c r="K75" i="9"/>
  <c r="K76" i="9"/>
  <c r="K77" i="9"/>
  <c r="K78" i="9"/>
  <c r="O75" i="9"/>
  <c r="O76" i="9"/>
  <c r="O77" i="9"/>
  <c r="O78" i="9"/>
  <c r="S75" i="9"/>
  <c r="S76" i="9"/>
  <c r="S77" i="9"/>
  <c r="S78" i="9"/>
  <c r="G79" i="9"/>
  <c r="G80" i="9"/>
  <c r="G81" i="9"/>
  <c r="G82" i="9"/>
  <c r="G83" i="9"/>
  <c r="K79" i="9"/>
  <c r="K80" i="9"/>
  <c r="K81" i="9"/>
  <c r="K82" i="9"/>
  <c r="K83" i="9"/>
  <c r="O79" i="9"/>
  <c r="O80" i="9"/>
  <c r="O81" i="9"/>
  <c r="O82" i="9"/>
  <c r="O83" i="9"/>
  <c r="S79" i="9"/>
  <c r="S80" i="9"/>
  <c r="S81" i="9"/>
  <c r="S82" i="9"/>
  <c r="S83" i="9"/>
  <c r="D70" i="9"/>
  <c r="D71" i="9"/>
  <c r="D72" i="9"/>
  <c r="D73" i="9"/>
  <c r="D74" i="9"/>
  <c r="H70" i="9"/>
  <c r="H71" i="9"/>
  <c r="H72" i="9"/>
  <c r="H73" i="9"/>
  <c r="H74" i="9"/>
  <c r="L70" i="9"/>
  <c r="L71" i="9"/>
  <c r="L72" i="9"/>
  <c r="L73" i="9"/>
  <c r="L74" i="9"/>
  <c r="P70" i="9"/>
  <c r="P71" i="9"/>
  <c r="P72" i="9"/>
  <c r="P73" i="9"/>
  <c r="P74" i="9"/>
  <c r="D75" i="9"/>
  <c r="D76" i="9"/>
  <c r="D77" i="9"/>
  <c r="D78" i="9"/>
  <c r="H75" i="9"/>
  <c r="H76" i="9"/>
  <c r="H77" i="9"/>
  <c r="H78" i="9"/>
  <c r="L75" i="9"/>
  <c r="L76" i="9"/>
  <c r="L77" i="9"/>
  <c r="L78" i="9"/>
  <c r="P75" i="9"/>
  <c r="P76" i="9"/>
  <c r="P77" i="9"/>
  <c r="P78" i="9"/>
  <c r="D79" i="9"/>
  <c r="D80" i="9"/>
  <c r="D81" i="9"/>
  <c r="D82" i="9"/>
  <c r="D83" i="9"/>
  <c r="H79" i="9"/>
  <c r="H80" i="9"/>
  <c r="H81" i="9"/>
  <c r="H82" i="9"/>
  <c r="H83" i="9"/>
  <c r="L79" i="9"/>
  <c r="L80" i="9"/>
  <c r="L81" i="9"/>
  <c r="L82" i="9"/>
  <c r="L83" i="9"/>
  <c r="P79" i="9"/>
  <c r="P80" i="9"/>
  <c r="P81" i="9"/>
  <c r="P82" i="9"/>
  <c r="P83" i="9"/>
  <c r="L3" i="9"/>
  <c r="L8" i="9"/>
  <c r="L10" i="9"/>
  <c r="H18" i="9"/>
  <c r="H19" i="9"/>
  <c r="H14" i="9"/>
  <c r="H15" i="9"/>
  <c r="H16" i="9"/>
  <c r="H17" i="9"/>
  <c r="H25" i="9"/>
  <c r="H20" i="9"/>
  <c r="H21" i="9"/>
  <c r="H22" i="9"/>
  <c r="H23" i="9"/>
  <c r="H24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L39" i="9"/>
  <c r="L40" i="9"/>
  <c r="L41" i="9"/>
  <c r="L42" i="9"/>
  <c r="L43" i="9"/>
  <c r="P45" i="9"/>
  <c r="P46" i="9"/>
  <c r="P47" i="9"/>
  <c r="P48" i="9"/>
  <c r="H49" i="9"/>
  <c r="H51" i="9"/>
  <c r="H53" i="9"/>
  <c r="H50" i="9"/>
  <c r="H52" i="9"/>
  <c r="H54" i="9"/>
  <c r="H55" i="9"/>
  <c r="H56" i="9"/>
  <c r="H58" i="9"/>
  <c r="H57" i="9"/>
  <c r="H59" i="9"/>
  <c r="H60" i="9"/>
  <c r="H61" i="9"/>
  <c r="H62" i="9"/>
  <c r="H63" i="9"/>
  <c r="H64" i="9"/>
  <c r="H65" i="9"/>
  <c r="H67" i="9"/>
  <c r="H68" i="9"/>
  <c r="H66" i="9"/>
  <c r="E3" i="9"/>
  <c r="E7" i="9"/>
  <c r="E4" i="9"/>
  <c r="E5" i="9"/>
  <c r="E6" i="9"/>
  <c r="I3" i="9"/>
  <c r="I7" i="9"/>
  <c r="I4" i="9"/>
  <c r="I5" i="9"/>
  <c r="I6" i="9"/>
  <c r="M3" i="9"/>
  <c r="M7" i="9"/>
  <c r="M4" i="9"/>
  <c r="M5" i="9"/>
  <c r="M6" i="9"/>
  <c r="Q3" i="9"/>
  <c r="Q7" i="9"/>
  <c r="Q4" i="9"/>
  <c r="Q5" i="9"/>
  <c r="Q6" i="9"/>
  <c r="E11" i="9"/>
  <c r="E12" i="9"/>
  <c r="E13" i="9"/>
  <c r="E8" i="9"/>
  <c r="E9" i="9"/>
  <c r="E10" i="9"/>
  <c r="I11" i="9"/>
  <c r="I12" i="9"/>
  <c r="I13" i="9"/>
  <c r="I8" i="9"/>
  <c r="I9" i="9"/>
  <c r="I10" i="9"/>
  <c r="M11" i="9"/>
  <c r="M12" i="9"/>
  <c r="M13" i="9"/>
  <c r="M8" i="9"/>
  <c r="M9" i="9"/>
  <c r="M10" i="9"/>
  <c r="Q11" i="9"/>
  <c r="Q12" i="9"/>
  <c r="Q13" i="9"/>
  <c r="Q8" i="9"/>
  <c r="Q9" i="9"/>
  <c r="Q10" i="9"/>
  <c r="E18" i="9"/>
  <c r="E14" i="9"/>
  <c r="E15" i="9"/>
  <c r="E16" i="9"/>
  <c r="E17" i="9"/>
  <c r="I19" i="9"/>
  <c r="I14" i="9"/>
  <c r="M14" i="9"/>
  <c r="M16" i="9"/>
  <c r="M17" i="9"/>
  <c r="Q18" i="9"/>
  <c r="Q19" i="9"/>
  <c r="Q14" i="9"/>
  <c r="Q15" i="9"/>
  <c r="Q16" i="9"/>
  <c r="Q17" i="9"/>
  <c r="E25" i="9"/>
  <c r="E20" i="9"/>
  <c r="I25" i="9"/>
  <c r="I20" i="9"/>
  <c r="I21" i="9"/>
  <c r="I22" i="9"/>
  <c r="I23" i="9"/>
  <c r="I24" i="9"/>
  <c r="M25" i="9"/>
  <c r="M24" i="9"/>
  <c r="Q25" i="9"/>
  <c r="Q20" i="9"/>
  <c r="Q21" i="9"/>
  <c r="Q22" i="9"/>
  <c r="Q23" i="9"/>
  <c r="Q24" i="9"/>
  <c r="E32" i="9"/>
  <c r="E26" i="9"/>
  <c r="E28" i="9"/>
  <c r="E30" i="9"/>
  <c r="E31" i="9"/>
  <c r="I26" i="9"/>
  <c r="I27" i="9"/>
  <c r="I28" i="9"/>
  <c r="I29" i="9"/>
  <c r="I30" i="9"/>
  <c r="I31" i="9"/>
  <c r="I32" i="9"/>
  <c r="M32" i="9"/>
  <c r="M26" i="9"/>
  <c r="M28" i="9"/>
  <c r="M30" i="9"/>
  <c r="M27" i="9"/>
  <c r="M29" i="9"/>
  <c r="M31" i="9"/>
  <c r="Q26" i="9"/>
  <c r="Q27" i="9"/>
  <c r="Q28" i="9"/>
  <c r="Q29" i="9"/>
  <c r="Q30" i="9"/>
  <c r="Q31" i="9"/>
  <c r="Q32" i="9"/>
  <c r="E33" i="9"/>
  <c r="E35" i="9"/>
  <c r="E37" i="9"/>
  <c r="E34" i="9"/>
  <c r="E36" i="9"/>
  <c r="E38" i="9"/>
  <c r="I33" i="9"/>
  <c r="I34" i="9"/>
  <c r="I35" i="9"/>
  <c r="I36" i="9"/>
  <c r="I37" i="9"/>
  <c r="I38" i="9"/>
  <c r="M33" i="9"/>
  <c r="M35" i="9"/>
  <c r="M37" i="9"/>
  <c r="M38" i="9"/>
  <c r="M34" i="9"/>
  <c r="M36" i="9"/>
  <c r="Q33" i="9"/>
  <c r="Q34" i="9"/>
  <c r="Q35" i="9"/>
  <c r="Q36" i="9"/>
  <c r="Q37" i="9"/>
  <c r="Q38" i="9"/>
  <c r="E39" i="9"/>
  <c r="E40" i="9"/>
  <c r="E41" i="9"/>
  <c r="E42" i="9"/>
  <c r="E43" i="9"/>
  <c r="E44" i="9"/>
  <c r="I39" i="9"/>
  <c r="I40" i="9"/>
  <c r="I41" i="9"/>
  <c r="I42" i="9"/>
  <c r="I43" i="9"/>
  <c r="I44" i="9"/>
  <c r="M39" i="9"/>
  <c r="M40" i="9"/>
  <c r="M41" i="9"/>
  <c r="M42" i="9"/>
  <c r="M43" i="9"/>
  <c r="M44" i="9"/>
  <c r="Q39" i="9"/>
  <c r="Q40" i="9"/>
  <c r="Q41" i="9"/>
  <c r="Q42" i="9"/>
  <c r="Q43" i="9"/>
  <c r="Q44" i="9"/>
  <c r="E48" i="9"/>
  <c r="E45" i="9"/>
  <c r="E46" i="9"/>
  <c r="E47" i="9"/>
  <c r="I45" i="9"/>
  <c r="I46" i="9"/>
  <c r="I47" i="9"/>
  <c r="I48" i="9"/>
  <c r="M47" i="9"/>
  <c r="M48" i="9"/>
  <c r="M46" i="9"/>
  <c r="M45" i="9"/>
  <c r="Q47" i="9"/>
  <c r="Q48" i="9"/>
  <c r="Q46" i="9"/>
  <c r="Q45" i="9"/>
  <c r="E49" i="9"/>
  <c r="E50" i="9"/>
  <c r="E51" i="9"/>
  <c r="E52" i="9"/>
  <c r="E53" i="9"/>
  <c r="E54" i="9"/>
  <c r="I49" i="9"/>
  <c r="I50" i="9"/>
  <c r="I51" i="9"/>
  <c r="I52" i="9"/>
  <c r="I53" i="9"/>
  <c r="I54" i="9"/>
  <c r="M50" i="9"/>
  <c r="M52" i="9"/>
  <c r="M54" i="9"/>
  <c r="M49" i="9"/>
  <c r="M51" i="9"/>
  <c r="M53" i="9"/>
  <c r="Q49" i="9"/>
  <c r="Q53" i="9"/>
  <c r="Q52" i="9"/>
  <c r="Q51" i="9"/>
  <c r="Q50" i="9"/>
  <c r="Q54" i="9"/>
  <c r="E55" i="9"/>
  <c r="E56" i="9"/>
  <c r="E57" i="9"/>
  <c r="E58" i="9"/>
  <c r="E59" i="9"/>
  <c r="I55" i="9"/>
  <c r="I56" i="9"/>
  <c r="I57" i="9"/>
  <c r="I58" i="9"/>
  <c r="I59" i="9"/>
  <c r="M55" i="9"/>
  <c r="M56" i="9"/>
  <c r="M57" i="9"/>
  <c r="M59" i="9"/>
  <c r="M58" i="9"/>
  <c r="Q55" i="9"/>
  <c r="Q56" i="9"/>
  <c r="Q59" i="9"/>
  <c r="Q58" i="9"/>
  <c r="Q57" i="9"/>
  <c r="E60" i="9"/>
  <c r="E61" i="9"/>
  <c r="E62" i="9"/>
  <c r="E63" i="9"/>
  <c r="E64" i="9"/>
  <c r="I60" i="9"/>
  <c r="I61" i="9"/>
  <c r="I62" i="9"/>
  <c r="I63" i="9"/>
  <c r="I64" i="9"/>
  <c r="M60" i="9"/>
  <c r="M61" i="9"/>
  <c r="M62" i="9"/>
  <c r="M63" i="9"/>
  <c r="M64" i="9"/>
  <c r="Q60" i="9"/>
  <c r="Q61" i="9"/>
  <c r="Q62" i="9"/>
  <c r="Q63" i="9"/>
  <c r="Q64" i="9"/>
  <c r="E65" i="9"/>
  <c r="E66" i="9"/>
  <c r="E67" i="9"/>
  <c r="E68" i="9"/>
  <c r="I65" i="9"/>
  <c r="I66" i="9"/>
  <c r="I67" i="9"/>
  <c r="I68" i="9"/>
  <c r="M65" i="9"/>
  <c r="M66" i="9"/>
  <c r="M67" i="9"/>
  <c r="M68" i="9"/>
  <c r="Q65" i="9"/>
  <c r="Q66" i="9"/>
  <c r="Q67" i="9"/>
  <c r="Q68" i="9"/>
  <c r="E4" i="11"/>
  <c r="E3" i="11"/>
  <c r="I4" i="11"/>
  <c r="I3" i="11"/>
  <c r="M4" i="11"/>
  <c r="M3" i="11"/>
  <c r="Q4" i="11"/>
  <c r="Q3" i="11"/>
  <c r="E5" i="11"/>
  <c r="E6" i="11"/>
  <c r="E7" i="11"/>
  <c r="E8" i="11"/>
  <c r="E9" i="11"/>
  <c r="E10" i="11"/>
  <c r="I5" i="11"/>
  <c r="I6" i="11"/>
  <c r="I7" i="11"/>
  <c r="I8" i="11"/>
  <c r="I9" i="11"/>
  <c r="I10" i="11"/>
  <c r="M5" i="11"/>
  <c r="M6" i="11"/>
  <c r="M7" i="11"/>
  <c r="M8" i="11"/>
  <c r="M10" i="11"/>
  <c r="M9" i="11"/>
  <c r="Q5" i="11"/>
  <c r="Q6" i="11"/>
  <c r="Q7" i="11"/>
  <c r="Q8" i="11"/>
  <c r="Q9" i="11"/>
  <c r="Q10" i="11"/>
  <c r="E12" i="11"/>
  <c r="E13" i="11"/>
  <c r="E11" i="11"/>
  <c r="E14" i="11"/>
  <c r="E16" i="11"/>
  <c r="E15" i="11"/>
  <c r="I12" i="11"/>
  <c r="I13" i="11"/>
  <c r="I14" i="11"/>
  <c r="I15" i="11"/>
  <c r="I16" i="11"/>
  <c r="I11" i="11"/>
  <c r="M11" i="11"/>
  <c r="M12" i="11"/>
  <c r="M15" i="11"/>
  <c r="M14" i="11"/>
  <c r="M16" i="11"/>
  <c r="M13" i="11"/>
  <c r="Q11" i="11"/>
  <c r="Q12" i="11"/>
  <c r="Q13" i="11"/>
  <c r="Q14" i="11"/>
  <c r="Q15" i="11"/>
  <c r="Q16" i="11"/>
  <c r="E17" i="11"/>
  <c r="E19" i="11"/>
  <c r="E20" i="11"/>
  <c r="E18" i="11"/>
  <c r="I19" i="11"/>
  <c r="I20" i="11"/>
  <c r="I17" i="11"/>
  <c r="I18" i="11"/>
  <c r="M20" i="11"/>
  <c r="M18" i="11"/>
  <c r="M19" i="11"/>
  <c r="M17" i="11"/>
  <c r="Q19" i="11"/>
  <c r="Q20" i="11"/>
  <c r="Q17" i="11"/>
  <c r="Q18" i="11"/>
  <c r="E21" i="11"/>
  <c r="E24" i="11"/>
  <c r="E22" i="11"/>
  <c r="E23" i="11"/>
  <c r="I23" i="11"/>
  <c r="I24" i="11"/>
  <c r="I21" i="11"/>
  <c r="I22" i="11"/>
  <c r="M23" i="11"/>
  <c r="M22" i="11"/>
  <c r="M24" i="11"/>
  <c r="M21" i="11"/>
  <c r="Q23" i="11"/>
  <c r="Q24" i="11"/>
  <c r="Q21" i="11"/>
  <c r="Q22" i="11"/>
  <c r="E27" i="11"/>
  <c r="E30" i="11"/>
  <c r="E26" i="11"/>
  <c r="E28" i="11"/>
  <c r="E29" i="11"/>
  <c r="E25" i="11"/>
  <c r="I29" i="11"/>
  <c r="I30" i="11"/>
  <c r="I25" i="11"/>
  <c r="I26" i="11"/>
  <c r="I27" i="11"/>
  <c r="I28" i="11"/>
  <c r="M25" i="11"/>
  <c r="M28" i="11"/>
  <c r="M30" i="11"/>
  <c r="M26" i="11"/>
  <c r="M29" i="11"/>
  <c r="M27" i="11"/>
  <c r="Q29" i="11"/>
  <c r="Q30" i="11"/>
  <c r="Q25" i="11"/>
  <c r="Q26" i="11"/>
  <c r="Q27" i="11"/>
  <c r="Q28" i="11"/>
  <c r="E33" i="11"/>
  <c r="E34" i="11"/>
  <c r="E31" i="11"/>
  <c r="E32" i="11"/>
  <c r="I33" i="11"/>
  <c r="I34" i="11"/>
  <c r="I31" i="11"/>
  <c r="I32" i="11"/>
  <c r="M33" i="11"/>
  <c r="M34" i="11"/>
  <c r="M32" i="11"/>
  <c r="M31" i="11"/>
  <c r="Q33" i="11"/>
  <c r="Q34" i="11"/>
  <c r="Q31" i="11"/>
  <c r="Q32" i="11"/>
  <c r="E38" i="11"/>
  <c r="E35" i="11"/>
  <c r="E36" i="11"/>
  <c r="E37" i="11"/>
  <c r="I38" i="11"/>
  <c r="I35" i="11"/>
  <c r="I36" i="11"/>
  <c r="I37" i="11"/>
  <c r="M38" i="11"/>
  <c r="M35" i="11"/>
  <c r="M36" i="11"/>
  <c r="M37" i="11"/>
  <c r="Q38" i="11"/>
  <c r="Q35" i="11"/>
  <c r="Q36" i="11"/>
  <c r="Q37" i="11"/>
  <c r="E40" i="11"/>
  <c r="E41" i="11"/>
  <c r="E42" i="11"/>
  <c r="E39" i="11"/>
  <c r="I40" i="11"/>
  <c r="I41" i="11"/>
  <c r="I42" i="11"/>
  <c r="I39" i="11"/>
  <c r="M40" i="11"/>
  <c r="M41" i="11"/>
  <c r="M42" i="11"/>
  <c r="M39" i="11"/>
  <c r="Q40" i="11"/>
  <c r="Q41" i="11"/>
  <c r="Q42" i="11"/>
  <c r="Q39" i="11"/>
  <c r="P3" i="9"/>
  <c r="P7" i="9"/>
  <c r="P4" i="9"/>
  <c r="P5" i="9"/>
  <c r="P6" i="9"/>
  <c r="P11" i="9"/>
  <c r="P12" i="9"/>
  <c r="P13" i="9"/>
  <c r="P8" i="9"/>
  <c r="P9" i="9"/>
  <c r="P10" i="9"/>
  <c r="P18" i="9"/>
  <c r="P19" i="9"/>
  <c r="P14" i="9"/>
  <c r="P15" i="9"/>
  <c r="P16" i="9"/>
  <c r="P17" i="9"/>
  <c r="L25" i="9"/>
  <c r="L22" i="9"/>
  <c r="L23" i="9"/>
  <c r="L24" i="9"/>
  <c r="L26" i="9"/>
  <c r="L27" i="9"/>
  <c r="L28" i="9"/>
  <c r="L29" i="9"/>
  <c r="L30" i="9"/>
  <c r="L31" i="9"/>
  <c r="L32" i="9"/>
  <c r="L34" i="9"/>
  <c r="L35" i="9"/>
  <c r="L36" i="9"/>
  <c r="L37" i="9"/>
  <c r="L38" i="9"/>
  <c r="L33" i="9"/>
  <c r="H39" i="9"/>
  <c r="H40" i="9"/>
  <c r="H41" i="9"/>
  <c r="H42" i="9"/>
  <c r="H43" i="9"/>
  <c r="H44" i="9"/>
  <c r="H45" i="9"/>
  <c r="H47" i="9"/>
  <c r="H48" i="9"/>
  <c r="H46" i="9"/>
  <c r="L52" i="9"/>
  <c r="L51" i="9"/>
  <c r="L50" i="9"/>
  <c r="L54" i="9"/>
  <c r="L53" i="9"/>
  <c r="L49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23" i="11"/>
  <c r="P24" i="11"/>
  <c r="P21" i="11"/>
  <c r="P22" i="11"/>
  <c r="H29" i="11"/>
  <c r="H30" i="11"/>
  <c r="H25" i="11"/>
  <c r="H26" i="11"/>
  <c r="H27" i="11"/>
  <c r="H28" i="11"/>
  <c r="P29" i="11"/>
  <c r="P30" i="11"/>
  <c r="P25" i="11"/>
  <c r="P26" i="11"/>
  <c r="P27" i="11"/>
  <c r="P28" i="11"/>
  <c r="H31" i="11"/>
  <c r="H32" i="11"/>
  <c r="H33" i="11"/>
  <c r="H34" i="11"/>
  <c r="P33" i="11"/>
  <c r="P34" i="11"/>
  <c r="P31" i="11"/>
  <c r="P32" i="11"/>
  <c r="H36" i="11"/>
  <c r="H37" i="11"/>
  <c r="H38" i="11"/>
  <c r="H35" i="11"/>
  <c r="P38" i="11"/>
  <c r="P35" i="11"/>
  <c r="P36" i="11"/>
  <c r="P37" i="11"/>
  <c r="H40" i="11"/>
  <c r="H41" i="11"/>
  <c r="H42" i="11"/>
  <c r="H39" i="11"/>
  <c r="P40" i="11"/>
  <c r="P41" i="11"/>
  <c r="P42" i="11"/>
  <c r="P39" i="11"/>
  <c r="F3" i="9"/>
  <c r="F7" i="9"/>
  <c r="F4" i="9"/>
  <c r="F5" i="9"/>
  <c r="F6" i="9"/>
  <c r="J3" i="9"/>
  <c r="J7" i="9"/>
  <c r="J4" i="9"/>
  <c r="J5" i="9"/>
  <c r="J6" i="9"/>
  <c r="N3" i="9"/>
  <c r="N7" i="9"/>
  <c r="N4" i="9"/>
  <c r="N5" i="9"/>
  <c r="N6" i="9"/>
  <c r="R3" i="9"/>
  <c r="R7" i="9"/>
  <c r="R4" i="9"/>
  <c r="R5" i="9"/>
  <c r="R6" i="9"/>
  <c r="F11" i="9"/>
  <c r="F12" i="9"/>
  <c r="F13" i="9"/>
  <c r="F8" i="9"/>
  <c r="F9" i="9"/>
  <c r="F10" i="9"/>
  <c r="J11" i="9"/>
  <c r="J12" i="9"/>
  <c r="J13" i="9"/>
  <c r="J8" i="9"/>
  <c r="J9" i="9"/>
  <c r="J10" i="9"/>
  <c r="N11" i="9"/>
  <c r="N12" i="9"/>
  <c r="N13" i="9"/>
  <c r="N8" i="9"/>
  <c r="N9" i="9"/>
  <c r="N10" i="9"/>
  <c r="R11" i="9"/>
  <c r="R12" i="9"/>
  <c r="R13" i="9"/>
  <c r="R8" i="9"/>
  <c r="R9" i="9"/>
  <c r="R10" i="9"/>
  <c r="F18" i="9"/>
  <c r="F19" i="9"/>
  <c r="F14" i="9"/>
  <c r="F15" i="9"/>
  <c r="F16" i="9"/>
  <c r="F17" i="9"/>
  <c r="J18" i="9"/>
  <c r="J19" i="9"/>
  <c r="J14" i="9"/>
  <c r="J15" i="9"/>
  <c r="J16" i="9"/>
  <c r="J17" i="9"/>
  <c r="N14" i="9"/>
  <c r="N15" i="9"/>
  <c r="N16" i="9"/>
  <c r="N17" i="9"/>
  <c r="N18" i="9"/>
  <c r="N19" i="9"/>
  <c r="R18" i="9"/>
  <c r="R19" i="9"/>
  <c r="R14" i="9"/>
  <c r="R15" i="9"/>
  <c r="R16" i="9"/>
  <c r="R17" i="9"/>
  <c r="F25" i="9"/>
  <c r="F20" i="9"/>
  <c r="F21" i="9"/>
  <c r="F22" i="9"/>
  <c r="F23" i="9"/>
  <c r="F24" i="9"/>
  <c r="J25" i="9"/>
  <c r="J20" i="9"/>
  <c r="J21" i="9"/>
  <c r="J22" i="9"/>
  <c r="J23" i="9"/>
  <c r="J24" i="9"/>
  <c r="N24" i="9"/>
  <c r="N20" i="9"/>
  <c r="N25" i="9"/>
  <c r="N21" i="9"/>
  <c r="N22" i="9"/>
  <c r="N23" i="9"/>
  <c r="R25" i="9"/>
  <c r="R20" i="9"/>
  <c r="R21" i="9"/>
  <c r="R22" i="9"/>
  <c r="R23" i="9"/>
  <c r="R24" i="9"/>
  <c r="F26" i="9"/>
  <c r="F27" i="9"/>
  <c r="F28" i="9"/>
  <c r="F29" i="9"/>
  <c r="F30" i="9"/>
  <c r="F31" i="9"/>
  <c r="F32" i="9"/>
  <c r="J26" i="9"/>
  <c r="J27" i="9"/>
  <c r="J28" i="9"/>
  <c r="J29" i="9"/>
  <c r="J30" i="9"/>
  <c r="J31" i="9"/>
  <c r="J32" i="9"/>
  <c r="N26" i="9"/>
  <c r="N27" i="9"/>
  <c r="N28" i="9"/>
  <c r="N29" i="9"/>
  <c r="N30" i="9"/>
  <c r="N31" i="9"/>
  <c r="N32" i="9"/>
  <c r="R26" i="9"/>
  <c r="R27" i="9"/>
  <c r="R28" i="9"/>
  <c r="R29" i="9"/>
  <c r="R30" i="9"/>
  <c r="R31" i="9"/>
  <c r="R32" i="9"/>
  <c r="F33" i="9"/>
  <c r="F34" i="9"/>
  <c r="F35" i="9"/>
  <c r="F36" i="9"/>
  <c r="F37" i="9"/>
  <c r="F38" i="9"/>
  <c r="J33" i="9"/>
  <c r="J34" i="9"/>
  <c r="J35" i="9"/>
  <c r="J36" i="9"/>
  <c r="J37" i="9"/>
  <c r="J38" i="9"/>
  <c r="N33" i="9"/>
  <c r="N34" i="9"/>
  <c r="N35" i="9"/>
  <c r="N36" i="9"/>
  <c r="N37" i="9"/>
  <c r="N38" i="9"/>
  <c r="R33" i="9"/>
  <c r="R34" i="9"/>
  <c r="R35" i="9"/>
  <c r="R36" i="9"/>
  <c r="R37" i="9"/>
  <c r="R38" i="9"/>
  <c r="F39" i="9"/>
  <c r="F40" i="9"/>
  <c r="F41" i="9"/>
  <c r="F42" i="9"/>
  <c r="F43" i="9"/>
  <c r="F44" i="9"/>
  <c r="J39" i="9"/>
  <c r="J40" i="9"/>
  <c r="J41" i="9"/>
  <c r="J42" i="9"/>
  <c r="J43" i="9"/>
  <c r="J44" i="9"/>
  <c r="N39" i="9"/>
  <c r="N40" i="9"/>
  <c r="N41" i="9"/>
  <c r="N42" i="9"/>
  <c r="N43" i="9"/>
  <c r="N44" i="9"/>
  <c r="R39" i="9"/>
  <c r="R40" i="9"/>
  <c r="R41" i="9"/>
  <c r="R42" i="9"/>
  <c r="R43" i="9"/>
  <c r="R44" i="9"/>
  <c r="F45" i="9"/>
  <c r="F46" i="9"/>
  <c r="F47" i="9"/>
  <c r="F48" i="9"/>
  <c r="J45" i="9"/>
  <c r="J46" i="9"/>
  <c r="J47" i="9"/>
  <c r="J48" i="9"/>
  <c r="N45" i="9"/>
  <c r="N46" i="9"/>
  <c r="N47" i="9"/>
  <c r="N48" i="9"/>
  <c r="R45" i="9"/>
  <c r="R46" i="9"/>
  <c r="R47" i="9"/>
  <c r="R48" i="9"/>
  <c r="F49" i="9"/>
  <c r="F50" i="9"/>
  <c r="F51" i="9"/>
  <c r="F52" i="9"/>
  <c r="F53" i="9"/>
  <c r="F54" i="9"/>
  <c r="J49" i="9"/>
  <c r="J50" i="9"/>
  <c r="J51" i="9"/>
  <c r="J52" i="9"/>
  <c r="J53" i="9"/>
  <c r="J54" i="9"/>
  <c r="N49" i="9"/>
  <c r="N50" i="9"/>
  <c r="N51" i="9"/>
  <c r="N52" i="9"/>
  <c r="N53" i="9"/>
  <c r="N54" i="9"/>
  <c r="R49" i="9"/>
  <c r="R50" i="9"/>
  <c r="R51" i="9"/>
  <c r="R52" i="9"/>
  <c r="R53" i="9"/>
  <c r="R54" i="9"/>
  <c r="F55" i="9"/>
  <c r="F56" i="9"/>
  <c r="F57" i="9"/>
  <c r="F58" i="9"/>
  <c r="F59" i="9"/>
  <c r="J55" i="9"/>
  <c r="J56" i="9"/>
  <c r="J57" i="9"/>
  <c r="J58" i="9"/>
  <c r="J59" i="9"/>
  <c r="N55" i="9"/>
  <c r="N56" i="9"/>
  <c r="N57" i="9"/>
  <c r="N58" i="9"/>
  <c r="N59" i="9"/>
  <c r="R55" i="9"/>
  <c r="R56" i="9"/>
  <c r="R57" i="9"/>
  <c r="R58" i="9"/>
  <c r="R59" i="9"/>
  <c r="F60" i="9"/>
  <c r="F61" i="9"/>
  <c r="F62" i="9"/>
  <c r="F63" i="9"/>
  <c r="F64" i="9"/>
  <c r="J60" i="9"/>
  <c r="J61" i="9"/>
  <c r="J62" i="9"/>
  <c r="J63" i="9"/>
  <c r="J64" i="9"/>
  <c r="N60" i="9"/>
  <c r="N61" i="9"/>
  <c r="N62" i="9"/>
  <c r="N63" i="9"/>
  <c r="N64" i="9"/>
  <c r="R60" i="9"/>
  <c r="R61" i="9"/>
  <c r="R62" i="9"/>
  <c r="R63" i="9"/>
  <c r="R64" i="9"/>
  <c r="F65" i="9"/>
  <c r="F66" i="9"/>
  <c r="F67" i="9"/>
  <c r="F68" i="9"/>
  <c r="J65" i="9"/>
  <c r="J67" i="9"/>
  <c r="J68" i="9"/>
  <c r="J66" i="9"/>
  <c r="N66" i="9"/>
  <c r="N67" i="9"/>
  <c r="N68" i="9"/>
  <c r="N65" i="9"/>
  <c r="R65" i="9"/>
  <c r="R66" i="9"/>
  <c r="R67" i="9"/>
  <c r="R68" i="9"/>
  <c r="F3" i="11"/>
  <c r="F4" i="11"/>
  <c r="J3" i="11"/>
  <c r="J4" i="11"/>
  <c r="N3" i="11"/>
  <c r="N4" i="11"/>
  <c r="R3" i="11"/>
  <c r="R4" i="11"/>
  <c r="F9" i="11"/>
  <c r="F10" i="11"/>
  <c r="F5" i="11"/>
  <c r="F6" i="11"/>
  <c r="F7" i="11"/>
  <c r="F8" i="11"/>
  <c r="J9" i="11"/>
  <c r="J10" i="11"/>
  <c r="J5" i="11"/>
  <c r="J6" i="11"/>
  <c r="J7" i="11"/>
  <c r="J8" i="11"/>
  <c r="N9" i="11"/>
  <c r="N10" i="11"/>
  <c r="N5" i="11"/>
  <c r="N6" i="11"/>
  <c r="N7" i="11"/>
  <c r="N8" i="11"/>
  <c r="R9" i="11"/>
  <c r="R10" i="11"/>
  <c r="R5" i="11"/>
  <c r="R6" i="11"/>
  <c r="R7" i="11"/>
  <c r="R8" i="11"/>
  <c r="F13" i="11"/>
  <c r="F14" i="11"/>
  <c r="F15" i="11"/>
  <c r="F16" i="11"/>
  <c r="F11" i="11"/>
  <c r="F12" i="11"/>
  <c r="J13" i="11"/>
  <c r="J14" i="11"/>
  <c r="J15" i="11"/>
  <c r="J16" i="11"/>
  <c r="J11" i="11"/>
  <c r="J12" i="11"/>
  <c r="N13" i="11"/>
  <c r="N14" i="11"/>
  <c r="N15" i="11"/>
  <c r="N16" i="11"/>
  <c r="N11" i="11"/>
  <c r="N12" i="11"/>
  <c r="R13" i="11"/>
  <c r="R14" i="11"/>
  <c r="R15" i="11"/>
  <c r="R16" i="11"/>
  <c r="R11" i="11"/>
  <c r="R12" i="11"/>
  <c r="F19" i="11"/>
  <c r="F20" i="11"/>
  <c r="F17" i="11"/>
  <c r="F18" i="11"/>
  <c r="J19" i="11"/>
  <c r="J20" i="11"/>
  <c r="J17" i="11"/>
  <c r="J18" i="11"/>
  <c r="N19" i="11"/>
  <c r="N20" i="11"/>
  <c r="N17" i="11"/>
  <c r="N18" i="11"/>
  <c r="R19" i="11"/>
  <c r="R20" i="11"/>
  <c r="R17" i="11"/>
  <c r="R18" i="11"/>
  <c r="F23" i="11"/>
  <c r="F24" i="11"/>
  <c r="F21" i="11"/>
  <c r="F22" i="11"/>
  <c r="J23" i="11"/>
  <c r="J24" i="11"/>
  <c r="J21" i="11"/>
  <c r="J22" i="11"/>
  <c r="N23" i="11"/>
  <c r="N24" i="11"/>
  <c r="N21" i="11"/>
  <c r="N22" i="11"/>
  <c r="R23" i="11"/>
  <c r="R24" i="11"/>
  <c r="R21" i="11"/>
  <c r="R22" i="11"/>
  <c r="F29" i="11"/>
  <c r="F30" i="11"/>
  <c r="F25" i="11"/>
  <c r="F26" i="11"/>
  <c r="F27" i="11"/>
  <c r="F28" i="11"/>
  <c r="J29" i="11"/>
  <c r="J30" i="11"/>
  <c r="J25" i="11"/>
  <c r="J26" i="11"/>
  <c r="J27" i="11"/>
  <c r="J28" i="11"/>
  <c r="N29" i="11"/>
  <c r="N30" i="11"/>
  <c r="N25" i="11"/>
  <c r="N26" i="11"/>
  <c r="N27" i="11"/>
  <c r="N28" i="11"/>
  <c r="R29" i="11"/>
  <c r="R30" i="11"/>
  <c r="R25" i="11"/>
  <c r="R26" i="11"/>
  <c r="R27" i="11"/>
  <c r="R28" i="11"/>
  <c r="F31" i="11"/>
  <c r="F32" i="11"/>
  <c r="F33" i="11"/>
  <c r="F34" i="11"/>
  <c r="J33" i="11"/>
  <c r="J34" i="11"/>
  <c r="J31" i="11"/>
  <c r="J32" i="11"/>
  <c r="N31" i="11"/>
  <c r="N32" i="11"/>
  <c r="N34" i="11"/>
  <c r="N33" i="11"/>
  <c r="R31" i="11"/>
  <c r="R32" i="11"/>
  <c r="R33" i="11"/>
  <c r="R34" i="11"/>
  <c r="F36" i="11"/>
  <c r="F37" i="11"/>
  <c r="F38" i="11"/>
  <c r="F35" i="11"/>
  <c r="J38" i="11"/>
  <c r="J35" i="11"/>
  <c r="J36" i="11"/>
  <c r="J37" i="11"/>
  <c r="N35" i="11"/>
  <c r="N36" i="11"/>
  <c r="N37" i="11"/>
  <c r="N38" i="11"/>
  <c r="R35" i="11"/>
  <c r="R36" i="11"/>
  <c r="R37" i="11"/>
  <c r="R38" i="11"/>
  <c r="F40" i="11"/>
  <c r="F41" i="11"/>
  <c r="F42" i="11"/>
  <c r="F39" i="11"/>
  <c r="J39" i="11"/>
  <c r="J40" i="11"/>
  <c r="J41" i="11"/>
  <c r="J42" i="11"/>
  <c r="N40" i="11"/>
  <c r="N41" i="11"/>
  <c r="N42" i="11"/>
  <c r="N39" i="11"/>
  <c r="R40" i="11"/>
  <c r="R41" i="11"/>
  <c r="R42" i="11"/>
  <c r="R39" i="11"/>
  <c r="H3" i="9"/>
  <c r="H7" i="9"/>
  <c r="H4" i="9"/>
  <c r="H5" i="9"/>
  <c r="H6" i="9"/>
  <c r="H11" i="9"/>
  <c r="H12" i="9"/>
  <c r="H13" i="9"/>
  <c r="H8" i="9"/>
  <c r="H9" i="9"/>
  <c r="H10" i="9"/>
  <c r="L18" i="9"/>
  <c r="L19" i="9"/>
  <c r="L14" i="9"/>
  <c r="P25" i="9"/>
  <c r="P20" i="9"/>
  <c r="P21" i="9"/>
  <c r="P22" i="9"/>
  <c r="P23" i="9"/>
  <c r="P24" i="9"/>
  <c r="P26" i="9"/>
  <c r="P27" i="9"/>
  <c r="P28" i="9"/>
  <c r="P29" i="9"/>
  <c r="P30" i="9"/>
  <c r="P31" i="9"/>
  <c r="P32" i="9"/>
  <c r="P34" i="9"/>
  <c r="P35" i="9"/>
  <c r="P36" i="9"/>
  <c r="P37" i="9"/>
  <c r="P38" i="9"/>
  <c r="P33" i="9"/>
  <c r="P39" i="9"/>
  <c r="P40" i="9"/>
  <c r="P41" i="9"/>
  <c r="P42" i="9"/>
  <c r="P43" i="9"/>
  <c r="P44" i="9"/>
  <c r="L47" i="9"/>
  <c r="L48" i="9"/>
  <c r="L46" i="9"/>
  <c r="L45" i="9"/>
  <c r="P49" i="9"/>
  <c r="P50" i="9"/>
  <c r="P51" i="9"/>
  <c r="P52" i="9"/>
  <c r="P53" i="9"/>
  <c r="P54" i="9"/>
  <c r="L55" i="9"/>
  <c r="L56" i="9"/>
  <c r="L59" i="9"/>
  <c r="L58" i="9"/>
  <c r="L57" i="9"/>
  <c r="L60" i="9"/>
  <c r="L61" i="9"/>
  <c r="L62" i="9"/>
  <c r="L63" i="9"/>
  <c r="L64" i="9"/>
  <c r="L65" i="9"/>
  <c r="L66" i="9"/>
  <c r="L67" i="9"/>
  <c r="L68" i="9"/>
  <c r="H4" i="11"/>
  <c r="H3" i="11"/>
  <c r="L3" i="11"/>
  <c r="L4" i="11"/>
  <c r="P4" i="11"/>
  <c r="P3" i="11"/>
  <c r="D9" i="11"/>
  <c r="D10" i="11"/>
  <c r="D5" i="11"/>
  <c r="D6" i="11"/>
  <c r="D7" i="11"/>
  <c r="D8" i="11"/>
  <c r="H9" i="11"/>
  <c r="H10" i="11"/>
  <c r="H5" i="11"/>
  <c r="H6" i="11"/>
  <c r="H7" i="11"/>
  <c r="H8" i="11"/>
  <c r="L9" i="11"/>
  <c r="L10" i="11"/>
  <c r="L5" i="11"/>
  <c r="L6" i="11"/>
  <c r="L7" i="11"/>
  <c r="L8" i="11"/>
  <c r="P9" i="11"/>
  <c r="P10" i="11"/>
  <c r="P5" i="11"/>
  <c r="P6" i="11"/>
  <c r="P7" i="11"/>
  <c r="P8" i="11"/>
  <c r="D12" i="11"/>
  <c r="D13" i="11"/>
  <c r="D14" i="11"/>
  <c r="D15" i="11"/>
  <c r="D16" i="11"/>
  <c r="D11" i="11"/>
  <c r="H13" i="11"/>
  <c r="H14" i="11"/>
  <c r="H15" i="11"/>
  <c r="H16" i="11"/>
  <c r="H11" i="11"/>
  <c r="H12" i="11"/>
  <c r="L13" i="11"/>
  <c r="L14" i="11"/>
  <c r="L15" i="11"/>
  <c r="L16" i="11"/>
  <c r="L11" i="11"/>
  <c r="L12" i="11"/>
  <c r="P13" i="11"/>
  <c r="P14" i="11"/>
  <c r="P15" i="11"/>
  <c r="P16" i="11"/>
  <c r="P11" i="11"/>
  <c r="P12" i="11"/>
  <c r="D19" i="11"/>
  <c r="D20" i="11"/>
  <c r="D17" i="11"/>
  <c r="D18" i="11"/>
  <c r="H19" i="11"/>
  <c r="H20" i="11"/>
  <c r="H17" i="11"/>
  <c r="H18" i="11"/>
  <c r="L19" i="11"/>
  <c r="L20" i="11"/>
  <c r="L17" i="11"/>
  <c r="L18" i="11"/>
  <c r="P19" i="11"/>
  <c r="P20" i="11"/>
  <c r="P17" i="11"/>
  <c r="P18" i="11"/>
  <c r="D23" i="11"/>
  <c r="D24" i="11"/>
  <c r="D21" i="11"/>
  <c r="D22" i="11"/>
  <c r="H23" i="11"/>
  <c r="H24" i="11"/>
  <c r="H21" i="11"/>
  <c r="H22" i="11"/>
  <c r="L23" i="11"/>
  <c r="L24" i="11"/>
  <c r="L21" i="11"/>
  <c r="L22" i="11"/>
  <c r="D29" i="11"/>
  <c r="D30" i="11"/>
  <c r="D25" i="11"/>
  <c r="D26" i="11"/>
  <c r="D27" i="11"/>
  <c r="D28" i="11"/>
  <c r="L29" i="11"/>
  <c r="L30" i="11"/>
  <c r="L25" i="11"/>
  <c r="L26" i="11"/>
  <c r="L27" i="11"/>
  <c r="L28" i="11"/>
  <c r="D33" i="11"/>
  <c r="D34" i="11"/>
  <c r="D31" i="11"/>
  <c r="D32" i="11"/>
  <c r="L34" i="11"/>
  <c r="L33" i="11"/>
  <c r="L31" i="11"/>
  <c r="L32" i="11"/>
  <c r="D38" i="11"/>
  <c r="D35" i="11"/>
  <c r="D36" i="11"/>
  <c r="D37" i="11"/>
  <c r="L38" i="11"/>
  <c r="L35" i="11"/>
  <c r="L36" i="11"/>
  <c r="L37" i="11"/>
  <c r="D40" i="11"/>
  <c r="D41" i="11"/>
  <c r="D42" i="11"/>
  <c r="D39" i="11"/>
  <c r="L40" i="11"/>
  <c r="L41" i="11"/>
  <c r="L42" i="11"/>
  <c r="L39" i="11"/>
  <c r="G7" i="9"/>
  <c r="G4" i="9"/>
  <c r="G5" i="9"/>
  <c r="G6" i="9"/>
  <c r="G3" i="9"/>
  <c r="K7" i="9"/>
  <c r="O7" i="9"/>
  <c r="O4" i="9"/>
  <c r="O5" i="9"/>
  <c r="O6" i="9"/>
  <c r="O3" i="9"/>
  <c r="S3" i="9"/>
  <c r="G11" i="9"/>
  <c r="G12" i="9"/>
  <c r="G13" i="9"/>
  <c r="G8" i="9"/>
  <c r="G9" i="9"/>
  <c r="G10" i="9"/>
  <c r="K12" i="9"/>
  <c r="K13" i="9"/>
  <c r="K8" i="9"/>
  <c r="O11" i="9"/>
  <c r="O12" i="9"/>
  <c r="O13" i="9"/>
  <c r="O8" i="9"/>
  <c r="O9" i="9"/>
  <c r="O10" i="9"/>
  <c r="S9" i="9"/>
  <c r="S10" i="9"/>
  <c r="G18" i="9"/>
  <c r="G19" i="9"/>
  <c r="G14" i="9"/>
  <c r="G15" i="9"/>
  <c r="G16" i="9"/>
  <c r="G17" i="9"/>
  <c r="K18" i="9"/>
  <c r="K19" i="9"/>
  <c r="K14" i="9"/>
  <c r="K15" i="9"/>
  <c r="K16" i="9"/>
  <c r="K17" i="9"/>
  <c r="O18" i="9"/>
  <c r="O19" i="9"/>
  <c r="O14" i="9"/>
  <c r="O15" i="9"/>
  <c r="O16" i="9"/>
  <c r="O17" i="9"/>
  <c r="S18" i="9"/>
  <c r="S19" i="9"/>
  <c r="S15" i="9"/>
  <c r="S16" i="9"/>
  <c r="S17" i="9"/>
  <c r="G25" i="9"/>
  <c r="G20" i="9"/>
  <c r="G21" i="9"/>
  <c r="G22" i="9"/>
  <c r="G23" i="9"/>
  <c r="G24" i="9"/>
  <c r="K25" i="9"/>
  <c r="K20" i="9"/>
  <c r="K21" i="9"/>
  <c r="K22" i="9"/>
  <c r="K23" i="9"/>
  <c r="K24" i="9"/>
  <c r="O25" i="9"/>
  <c r="O20" i="9"/>
  <c r="O21" i="9"/>
  <c r="O22" i="9"/>
  <c r="O23" i="9"/>
  <c r="O24" i="9"/>
  <c r="S25" i="9"/>
  <c r="S20" i="9"/>
  <c r="S21" i="9"/>
  <c r="S22" i="9"/>
  <c r="S23" i="9"/>
  <c r="S24" i="9"/>
  <c r="G26" i="9"/>
  <c r="G27" i="9"/>
  <c r="G28" i="9"/>
  <c r="G29" i="9"/>
  <c r="G30" i="9"/>
  <c r="G31" i="9"/>
  <c r="G32" i="9"/>
  <c r="K32" i="9"/>
  <c r="K26" i="9"/>
  <c r="K27" i="9"/>
  <c r="K28" i="9"/>
  <c r="K29" i="9"/>
  <c r="K30" i="9"/>
  <c r="K31" i="9"/>
  <c r="O26" i="9"/>
  <c r="O27" i="9"/>
  <c r="O28" i="9"/>
  <c r="O29" i="9"/>
  <c r="O30" i="9"/>
  <c r="O31" i="9"/>
  <c r="O32" i="9"/>
  <c r="S31" i="9"/>
  <c r="S32" i="9"/>
  <c r="S26" i="9"/>
  <c r="S27" i="9"/>
  <c r="S28" i="9"/>
  <c r="S29" i="9"/>
  <c r="S30" i="9"/>
  <c r="G34" i="9"/>
  <c r="G35" i="9"/>
  <c r="G36" i="9"/>
  <c r="G37" i="9"/>
  <c r="G38" i="9"/>
  <c r="G33" i="9"/>
  <c r="K34" i="9"/>
  <c r="K35" i="9"/>
  <c r="K36" i="9"/>
  <c r="K37" i="9"/>
  <c r="K38" i="9"/>
  <c r="K33" i="9"/>
  <c r="O33" i="9"/>
  <c r="O34" i="9"/>
  <c r="O35" i="9"/>
  <c r="O36" i="9"/>
  <c r="O37" i="9"/>
  <c r="O38" i="9"/>
  <c r="S33" i="9"/>
  <c r="S34" i="9"/>
  <c r="S35" i="9"/>
  <c r="S36" i="9"/>
  <c r="S37" i="9"/>
  <c r="S38" i="9"/>
  <c r="G43" i="9"/>
  <c r="G44" i="9"/>
  <c r="K40" i="9"/>
  <c r="K44" i="9"/>
  <c r="K41" i="9"/>
  <c r="K42" i="9"/>
  <c r="K39" i="9"/>
  <c r="K43" i="9"/>
  <c r="O39" i="9"/>
  <c r="O40" i="9"/>
  <c r="O41" i="9"/>
  <c r="O42" i="9"/>
  <c r="O43" i="9"/>
  <c r="O44" i="9"/>
  <c r="S39" i="9"/>
  <c r="S40" i="9"/>
  <c r="S41" i="9"/>
  <c r="S42" i="9"/>
  <c r="S43" i="9"/>
  <c r="S44" i="9"/>
  <c r="G45" i="9"/>
  <c r="G47" i="9"/>
  <c r="G48" i="9"/>
  <c r="G46" i="9"/>
  <c r="K45" i="9"/>
  <c r="K46" i="9"/>
  <c r="K47" i="9"/>
  <c r="K48" i="9"/>
  <c r="O45" i="9"/>
  <c r="O46" i="9"/>
  <c r="O47" i="9"/>
  <c r="O48" i="9"/>
  <c r="S45" i="9"/>
  <c r="S46" i="9"/>
  <c r="S47" i="9"/>
  <c r="S48" i="9"/>
  <c r="G51" i="9"/>
  <c r="G50" i="9"/>
  <c r="G54" i="9"/>
  <c r="G49" i="9"/>
  <c r="G53" i="9"/>
  <c r="G52" i="9"/>
  <c r="K49" i="9"/>
  <c r="K50" i="9"/>
  <c r="K51" i="9"/>
  <c r="K52" i="9"/>
  <c r="K53" i="9"/>
  <c r="K54" i="9"/>
  <c r="O49" i="9"/>
  <c r="O50" i="9"/>
  <c r="O51" i="9"/>
  <c r="O52" i="9"/>
  <c r="O53" i="9"/>
  <c r="O54" i="9"/>
  <c r="S49" i="9"/>
  <c r="S51" i="9"/>
  <c r="S53" i="9"/>
  <c r="S50" i="9"/>
  <c r="S52" i="9"/>
  <c r="S54" i="9"/>
  <c r="G55" i="9"/>
  <c r="G56" i="9"/>
  <c r="G58" i="9"/>
  <c r="G57" i="9"/>
  <c r="G59" i="9"/>
  <c r="K57" i="9"/>
  <c r="K58" i="9"/>
  <c r="K59" i="9"/>
  <c r="K55" i="9"/>
  <c r="K56" i="9"/>
  <c r="O55" i="9"/>
  <c r="O56" i="9"/>
  <c r="O57" i="9"/>
  <c r="O58" i="9"/>
  <c r="O59" i="9"/>
  <c r="S56" i="9"/>
  <c r="S58" i="9"/>
  <c r="S57" i="9"/>
  <c r="S59" i="9"/>
  <c r="S55" i="9"/>
  <c r="G62" i="9"/>
  <c r="G63" i="9"/>
  <c r="G64" i="9"/>
  <c r="G60" i="9"/>
  <c r="G61" i="9"/>
  <c r="K60" i="9"/>
  <c r="K61" i="9"/>
  <c r="K63" i="9"/>
  <c r="K62" i="9"/>
  <c r="K64" i="9"/>
  <c r="O61" i="9"/>
  <c r="O62" i="9"/>
  <c r="O63" i="9"/>
  <c r="O64" i="9"/>
  <c r="O60" i="9"/>
  <c r="S60" i="9"/>
  <c r="S62" i="9"/>
  <c r="S64" i="9"/>
  <c r="S61" i="9"/>
  <c r="S63" i="9"/>
  <c r="G65" i="9"/>
  <c r="G66" i="9"/>
  <c r="G67" i="9"/>
  <c r="G68" i="9"/>
  <c r="K65" i="9"/>
  <c r="K66" i="9"/>
  <c r="K67" i="9"/>
  <c r="K68" i="9"/>
  <c r="O65" i="9"/>
  <c r="O67" i="9"/>
  <c r="O66" i="9"/>
  <c r="O68" i="9"/>
  <c r="S65" i="9"/>
  <c r="S66" i="9"/>
  <c r="S67" i="9"/>
  <c r="S68" i="9"/>
  <c r="G3" i="11"/>
  <c r="G4" i="11"/>
  <c r="K3" i="11"/>
  <c r="K4" i="11"/>
  <c r="O3" i="11"/>
  <c r="O4" i="11"/>
  <c r="S3" i="11"/>
  <c r="S4" i="11"/>
  <c r="G9" i="11"/>
  <c r="G10" i="11"/>
  <c r="G5" i="11"/>
  <c r="G6" i="11"/>
  <c r="G7" i="11"/>
  <c r="G8" i="11"/>
  <c r="K9" i="11"/>
  <c r="K10" i="11"/>
  <c r="K5" i="11"/>
  <c r="K6" i="11"/>
  <c r="K7" i="11"/>
  <c r="K8" i="11"/>
  <c r="O9" i="11"/>
  <c r="O10" i="11"/>
  <c r="O5" i="11"/>
  <c r="O6" i="11"/>
  <c r="O7" i="11"/>
  <c r="O8" i="11"/>
  <c r="S9" i="11"/>
  <c r="S10" i="11"/>
  <c r="S5" i="11"/>
  <c r="S6" i="11"/>
  <c r="S7" i="11"/>
  <c r="S8" i="11"/>
  <c r="G13" i="11"/>
  <c r="G14" i="11"/>
  <c r="G15" i="11"/>
  <c r="G16" i="11"/>
  <c r="G11" i="11"/>
  <c r="G12" i="11"/>
  <c r="K13" i="11"/>
  <c r="K14" i="11"/>
  <c r="K15" i="11"/>
  <c r="K16" i="11"/>
  <c r="K11" i="11"/>
  <c r="K12" i="11"/>
  <c r="O13" i="11"/>
  <c r="O14" i="11"/>
  <c r="O15" i="11"/>
  <c r="O16" i="11"/>
  <c r="O11" i="11"/>
  <c r="O12" i="11"/>
  <c r="S13" i="11"/>
  <c r="S14" i="11"/>
  <c r="S15" i="11"/>
  <c r="S16" i="11"/>
  <c r="S11" i="11"/>
  <c r="S12" i="11"/>
  <c r="G19" i="11"/>
  <c r="G20" i="11"/>
  <c r="G17" i="11"/>
  <c r="G18" i="11"/>
  <c r="K19" i="11"/>
  <c r="K20" i="11"/>
  <c r="K17" i="11"/>
  <c r="K18" i="11"/>
  <c r="O19" i="11"/>
  <c r="O20" i="11"/>
  <c r="O17" i="11"/>
  <c r="O18" i="11"/>
  <c r="S19" i="11"/>
  <c r="S20" i="11"/>
  <c r="S17" i="11"/>
  <c r="S18" i="11"/>
  <c r="G23" i="11"/>
  <c r="G24" i="11"/>
  <c r="G21" i="11"/>
  <c r="G22" i="11"/>
  <c r="K23" i="11"/>
  <c r="K24" i="11"/>
  <c r="K21" i="11"/>
  <c r="K22" i="11"/>
  <c r="O23" i="11"/>
  <c r="O24" i="11"/>
  <c r="O21" i="11"/>
  <c r="O22" i="11"/>
  <c r="S23" i="11"/>
  <c r="S24" i="11"/>
  <c r="S21" i="11"/>
  <c r="S22" i="11"/>
  <c r="G29" i="11"/>
  <c r="G30" i="11"/>
  <c r="G25" i="11"/>
  <c r="G26" i="11"/>
  <c r="G27" i="11"/>
  <c r="G28" i="11"/>
  <c r="K29" i="11"/>
  <c r="K30" i="11"/>
  <c r="K25" i="11"/>
  <c r="K26" i="11"/>
  <c r="K27" i="11"/>
  <c r="K28" i="11"/>
  <c r="O29" i="11"/>
  <c r="O30" i="11"/>
  <c r="O25" i="11"/>
  <c r="O26" i="11"/>
  <c r="O27" i="11"/>
  <c r="O28" i="11"/>
  <c r="S29" i="11"/>
  <c r="S30" i="11"/>
  <c r="S25" i="11"/>
  <c r="S26" i="11"/>
  <c r="S27" i="11"/>
  <c r="S28" i="11"/>
  <c r="G31" i="11"/>
  <c r="G32" i="11"/>
  <c r="G33" i="11"/>
  <c r="G34" i="11"/>
  <c r="K33" i="11"/>
  <c r="K34" i="11"/>
  <c r="K31" i="11"/>
  <c r="K32" i="11"/>
  <c r="O33" i="11"/>
  <c r="O34" i="11"/>
  <c r="O31" i="11"/>
  <c r="O32" i="11"/>
  <c r="S31" i="11"/>
  <c r="S32" i="11"/>
  <c r="S33" i="11"/>
  <c r="S34" i="11"/>
  <c r="G36" i="11"/>
  <c r="G37" i="11"/>
  <c r="G38" i="11"/>
  <c r="G35" i="11"/>
  <c r="K38" i="11"/>
  <c r="K35" i="11"/>
  <c r="K36" i="11"/>
  <c r="K37" i="11"/>
  <c r="O38" i="11"/>
  <c r="O35" i="11"/>
  <c r="O36" i="11"/>
  <c r="O37" i="11"/>
  <c r="S35" i="11"/>
  <c r="S36" i="11"/>
  <c r="S37" i="11"/>
  <c r="S38" i="11"/>
  <c r="G40" i="11"/>
  <c r="G41" i="11"/>
  <c r="G42" i="11"/>
  <c r="G39" i="11"/>
  <c r="K39" i="11"/>
  <c r="K40" i="11"/>
  <c r="K41" i="11"/>
  <c r="K42" i="11"/>
  <c r="O39" i="11"/>
  <c r="O40" i="11"/>
  <c r="O41" i="11"/>
  <c r="O42" i="11"/>
  <c r="S40" i="11"/>
  <c r="S41" i="11"/>
  <c r="S42" i="11"/>
  <c r="S39" i="11"/>
  <c r="D12" i="9"/>
  <c r="D13" i="9"/>
  <c r="D8" i="9"/>
  <c r="D9" i="9"/>
  <c r="D10" i="9"/>
  <c r="D15" i="9"/>
  <c r="D16" i="9"/>
  <c r="D17" i="9"/>
  <c r="D27" i="9"/>
  <c r="D28" i="9"/>
  <c r="D29" i="9"/>
  <c r="D31" i="9"/>
  <c r="D32" i="9"/>
  <c r="D34" i="9"/>
  <c r="D35" i="9"/>
  <c r="D36" i="9"/>
  <c r="D37" i="9"/>
  <c r="D38" i="9"/>
  <c r="D33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7" i="9"/>
  <c r="D58" i="9"/>
  <c r="D59" i="9"/>
  <c r="D55" i="9"/>
  <c r="D56" i="9"/>
  <c r="D60" i="9"/>
  <c r="D61" i="9"/>
  <c r="D62" i="9"/>
  <c r="D63" i="9"/>
  <c r="D64" i="9"/>
  <c r="D65" i="9"/>
  <c r="D66" i="9"/>
  <c r="D67" i="9"/>
  <c r="D68" i="9"/>
  <c r="L29" i="70"/>
  <c r="L82" i="31"/>
  <c r="L146" i="31"/>
  <c r="J168" i="31"/>
  <c r="AG33" i="56"/>
  <c r="AG26" i="56"/>
  <c r="G9" i="24"/>
  <c r="G36" i="24"/>
  <c r="H6" i="35"/>
  <c r="L114" i="31"/>
  <c r="L21" i="70"/>
  <c r="B274" i="53" s="1"/>
  <c r="AG56" i="56"/>
  <c r="H23" i="70"/>
  <c r="L23" i="70"/>
  <c r="B332" i="53" s="1"/>
  <c r="L24" i="70"/>
  <c r="B361" i="53" s="1"/>
  <c r="L26" i="70"/>
  <c r="B419" i="53" s="1"/>
  <c r="L34" i="70"/>
  <c r="L27" i="70"/>
  <c r="B448" i="53" s="1"/>
  <c r="C20" i="52"/>
  <c r="D21" i="52"/>
  <c r="I53" i="5"/>
  <c r="AM50" i="6" s="1"/>
  <c r="AM91" i="6" s="1"/>
  <c r="K104" i="31"/>
  <c r="J158" i="31"/>
  <c r="L22" i="70"/>
  <c r="L25" i="70"/>
  <c r="F4" i="35"/>
  <c r="I55" i="5"/>
  <c r="AO50" i="6" s="1"/>
  <c r="AO91" i="6" s="1"/>
  <c r="J128" i="31"/>
  <c r="K153" i="31"/>
  <c r="J96" i="31"/>
  <c r="K136" i="31"/>
  <c r="L166" i="31"/>
  <c r="B2910" i="53"/>
  <c r="B2940" i="53"/>
  <c r="AG20" i="56"/>
  <c r="B2611" i="53"/>
  <c r="B2641" i="53"/>
  <c r="B2850" i="53"/>
  <c r="B2880" i="53"/>
  <c r="B2969" i="53"/>
  <c r="B2999" i="53"/>
  <c r="AG47" i="56"/>
  <c r="B2742" i="53"/>
  <c r="AG40" i="56"/>
  <c r="T5" i="35"/>
  <c r="F9" i="35"/>
  <c r="G48" i="24"/>
  <c r="F10" i="35"/>
  <c r="AA13" i="24"/>
  <c r="G19" i="24"/>
  <c r="G29" i="24"/>
  <c r="Z48" i="24"/>
  <c r="AG73" i="56"/>
  <c r="L5" i="35"/>
  <c r="J9" i="35"/>
  <c r="J10" i="35"/>
  <c r="J16" i="35"/>
  <c r="D17" i="52"/>
  <c r="C24" i="52"/>
  <c r="D25" i="52"/>
  <c r="D41" i="52"/>
  <c r="C42" i="52"/>
  <c r="C45" i="52"/>
  <c r="L42" i="70"/>
  <c r="B2121" i="53"/>
  <c r="H5" i="35"/>
  <c r="G23" i="24"/>
  <c r="G28" i="24"/>
  <c r="G44" i="24"/>
  <c r="L50" i="70"/>
  <c r="AG61" i="56"/>
  <c r="T4" i="35"/>
  <c r="N65" i="5"/>
  <c r="N71" i="5"/>
  <c r="K81" i="31"/>
  <c r="J104" i="31"/>
  <c r="K121" i="31"/>
  <c r="K145" i="31"/>
  <c r="K89" i="31"/>
  <c r="K113" i="31"/>
  <c r="J136" i="31"/>
  <c r="J80" i="31"/>
  <c r="K88" i="31"/>
  <c r="L98" i="31"/>
  <c r="J112" i="31"/>
  <c r="K120" i="31"/>
  <c r="L130" i="31"/>
  <c r="J144" i="31"/>
  <c r="K152" i="31"/>
  <c r="J88" i="31"/>
  <c r="K105" i="31"/>
  <c r="J120" i="31"/>
  <c r="K129" i="31"/>
  <c r="K137" i="31"/>
  <c r="J152" i="31"/>
  <c r="J164" i="31"/>
  <c r="L74" i="31"/>
  <c r="L90" i="31"/>
  <c r="L106" i="31"/>
  <c r="L122" i="31"/>
  <c r="L138" i="31"/>
  <c r="L154" i="31"/>
  <c r="L160" i="31"/>
  <c r="K77" i="31"/>
  <c r="J82" i="31"/>
  <c r="K93" i="31"/>
  <c r="J98" i="31"/>
  <c r="K109" i="31"/>
  <c r="J114" i="31"/>
  <c r="K125" i="31"/>
  <c r="J130" i="31"/>
  <c r="K141" i="31"/>
  <c r="J146" i="31"/>
  <c r="K157" i="31"/>
  <c r="K161" i="31"/>
  <c r="K69" i="31"/>
  <c r="J74" i="31"/>
  <c r="K80" i="31"/>
  <c r="K85" i="31"/>
  <c r="J90" i="31"/>
  <c r="K96" i="31"/>
  <c r="K101" i="31"/>
  <c r="J106" i="31"/>
  <c r="K112" i="31"/>
  <c r="K117" i="31"/>
  <c r="J122" i="31"/>
  <c r="K128" i="31"/>
  <c r="K133" i="31"/>
  <c r="J138" i="31"/>
  <c r="K144" i="31"/>
  <c r="K149" i="31"/>
  <c r="J154" i="31"/>
  <c r="J160" i="31"/>
  <c r="L164" i="31"/>
  <c r="J50" i="5"/>
  <c r="N50" i="5" s="1"/>
  <c r="P44" i="5"/>
  <c r="Q44" i="5"/>
  <c r="R44" i="5" s="1"/>
  <c r="R45" i="5" s="1"/>
  <c r="R46" i="5" s="1"/>
  <c r="D57" i="71"/>
  <c r="Z28" i="24"/>
  <c r="Z29" i="24"/>
  <c r="D52" i="71"/>
  <c r="D60" i="71"/>
  <c r="A8" i="56"/>
  <c r="A9" i="56" s="1"/>
  <c r="A10" i="56" s="1"/>
  <c r="A11" i="56" s="1"/>
  <c r="A13" i="56" s="1"/>
  <c r="A14" i="56" s="1"/>
  <c r="A16" i="56" s="1"/>
  <c r="A17" i="56" s="1"/>
  <c r="A18" i="56" s="1"/>
  <c r="A19" i="56" s="1"/>
  <c r="A20" i="56" s="1"/>
  <c r="A21" i="56" s="1"/>
  <c r="A22" i="56" s="1"/>
  <c r="A23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36" i="56" s="1"/>
  <c r="A37" i="56" s="1"/>
  <c r="A38" i="56" s="1"/>
  <c r="A39" i="56" s="1"/>
  <c r="A40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A54" i="56" s="1"/>
  <c r="A55" i="56" s="1"/>
  <c r="A56" i="56" s="1"/>
  <c r="A57" i="56" s="1"/>
  <c r="A58" i="56" s="1"/>
  <c r="A59" i="56" s="1"/>
  <c r="A60" i="56" s="1"/>
  <c r="A61" i="56" s="1"/>
  <c r="A62" i="56" s="1"/>
  <c r="A63" i="56" s="1"/>
  <c r="A64" i="56" s="1"/>
  <c r="A65" i="56" s="1"/>
  <c r="A66" i="56" s="1"/>
  <c r="A67" i="56" s="1"/>
  <c r="A68" i="56" s="1"/>
  <c r="A69" i="56" s="1"/>
  <c r="A70" i="56" s="1"/>
  <c r="A71" i="56" s="1"/>
  <c r="A72" i="56" s="1"/>
  <c r="A73" i="56" s="1"/>
  <c r="A74" i="56" s="1"/>
  <c r="A75" i="56" s="1"/>
  <c r="A76" i="56" s="1"/>
  <c r="A77" i="56" s="1"/>
  <c r="A78" i="56" s="1"/>
  <c r="A79" i="56" s="1"/>
  <c r="K22" i="56"/>
  <c r="L22" i="56" s="1"/>
  <c r="G36" i="56"/>
  <c r="G50" i="56"/>
  <c r="G62" i="56"/>
  <c r="D3" i="35"/>
  <c r="T3" i="35"/>
  <c r="C7" i="52"/>
  <c r="D8" i="52"/>
  <c r="C46" i="52"/>
  <c r="G70" i="56"/>
  <c r="AA10" i="24"/>
  <c r="L41" i="70"/>
  <c r="L30" i="70"/>
  <c r="D61" i="71"/>
  <c r="G14" i="56"/>
  <c r="G40" i="56"/>
  <c r="G54" i="56"/>
  <c r="G66" i="56"/>
  <c r="H3" i="35"/>
  <c r="L4" i="35"/>
  <c r="N5" i="35"/>
  <c r="D6" i="35"/>
  <c r="L6" i="35"/>
  <c r="C18" i="52"/>
  <c r="C22" i="52"/>
  <c r="C26" i="52"/>
  <c r="D29" i="52"/>
  <c r="C32" i="52"/>
  <c r="C34" i="52"/>
  <c r="C37" i="52"/>
  <c r="C53" i="52"/>
  <c r="G46" i="56"/>
  <c r="G74" i="56"/>
  <c r="G78" i="56"/>
  <c r="P3" i="35"/>
  <c r="G20" i="24"/>
  <c r="G25" i="24"/>
  <c r="G43" i="24"/>
  <c r="D56" i="71"/>
  <c r="D63" i="71"/>
  <c r="D69" i="71" s="1"/>
  <c r="D66" i="71"/>
  <c r="AH5" i="56"/>
  <c r="G32" i="56"/>
  <c r="G42" i="56"/>
  <c r="G58" i="56"/>
  <c r="AG67" i="56"/>
  <c r="L3" i="35"/>
  <c r="D5" i="35"/>
  <c r="P5" i="35"/>
  <c r="T6" i="35"/>
  <c r="F16" i="35"/>
  <c r="C38" i="52"/>
  <c r="N38" i="5"/>
  <c r="I47" i="5"/>
  <c r="N55" i="5"/>
  <c r="I63" i="5"/>
  <c r="BL50" i="6" s="1"/>
  <c r="BL91" i="6" s="1"/>
  <c r="I71" i="5"/>
  <c r="BT50" i="6" s="1"/>
  <c r="L76" i="31"/>
  <c r="L92" i="31"/>
  <c r="L100" i="31"/>
  <c r="L108" i="31"/>
  <c r="L116" i="31"/>
  <c r="L124" i="31"/>
  <c r="L132" i="31"/>
  <c r="L148" i="31"/>
  <c r="J76" i="31"/>
  <c r="J78" i="31"/>
  <c r="J92" i="31"/>
  <c r="J94" i="31"/>
  <c r="J100" i="31"/>
  <c r="J108" i="31"/>
  <c r="J110" i="31"/>
  <c r="J116" i="31"/>
  <c r="J118" i="31"/>
  <c r="J124" i="31"/>
  <c r="J126" i="31"/>
  <c r="J132" i="31"/>
  <c r="J134" i="31"/>
  <c r="J142" i="31"/>
  <c r="J150" i="31"/>
  <c r="J156" i="31"/>
  <c r="L158" i="31"/>
  <c r="J162" i="31"/>
  <c r="K165" i="31"/>
  <c r="K169" i="31"/>
  <c r="L78" i="31"/>
  <c r="L94" i="31"/>
  <c r="L110" i="31"/>
  <c r="L118" i="31"/>
  <c r="L126" i="31"/>
  <c r="L134" i="31"/>
  <c r="L142" i="31"/>
  <c r="L156" i="31"/>
  <c r="L162" i="31"/>
  <c r="B2731" i="53"/>
  <c r="AG55" i="56"/>
  <c r="Z23" i="24"/>
  <c r="Z21" i="24"/>
  <c r="Z24" i="24"/>
  <c r="Z19" i="24"/>
  <c r="Z20" i="24"/>
  <c r="Z26" i="24"/>
  <c r="Z7" i="24"/>
  <c r="Z34" i="24"/>
  <c r="Z33" i="24" s="1"/>
  <c r="Z35" i="24"/>
  <c r="Z36" i="24"/>
  <c r="Z42" i="24"/>
  <c r="AG65" i="56"/>
  <c r="AG43" i="56"/>
  <c r="AG44" i="56"/>
  <c r="AG63" i="56"/>
  <c r="AG64" i="56"/>
  <c r="AG68" i="56"/>
  <c r="AG69" i="56"/>
  <c r="AG10" i="56"/>
  <c r="AG58" i="56"/>
  <c r="Z38" i="24"/>
  <c r="Z39" i="24"/>
  <c r="Z9" i="24"/>
  <c r="Z45" i="24"/>
  <c r="AG70" i="56"/>
  <c r="Z47" i="24"/>
  <c r="E18" i="69"/>
  <c r="D19" i="69"/>
  <c r="D20" i="69"/>
  <c r="E31" i="69"/>
  <c r="F31" i="69"/>
  <c r="G31" i="69" s="1"/>
  <c r="F32" i="69"/>
  <c r="F33" i="69" s="1"/>
  <c r="D32" i="69"/>
  <c r="D33" i="69" s="1"/>
  <c r="E39" i="69"/>
  <c r="D40" i="69"/>
  <c r="E47" i="69"/>
  <c r="D48" i="69"/>
  <c r="D49" i="69" s="1"/>
  <c r="E68" i="69"/>
  <c r="D69" i="69"/>
  <c r="D70" i="69"/>
  <c r="E76" i="69"/>
  <c r="D77" i="69"/>
  <c r="D78" i="69"/>
  <c r="T7" i="35"/>
  <c r="L7" i="35"/>
  <c r="D7" i="35"/>
  <c r="P7" i="35"/>
  <c r="H7" i="35"/>
  <c r="R7" i="35"/>
  <c r="T11" i="35"/>
  <c r="L11" i="35"/>
  <c r="D11" i="35"/>
  <c r="P11" i="35"/>
  <c r="H11" i="35"/>
  <c r="R11" i="35"/>
  <c r="P13" i="35"/>
  <c r="H13" i="35"/>
  <c r="T13" i="35"/>
  <c r="L13" i="35"/>
  <c r="D13" i="35"/>
  <c r="R13" i="35"/>
  <c r="G7" i="24"/>
  <c r="G11" i="24"/>
  <c r="G14" i="24"/>
  <c r="G21" i="24"/>
  <c r="G30" i="24"/>
  <c r="G37" i="24"/>
  <c r="G41" i="24"/>
  <c r="G49" i="24"/>
  <c r="D54" i="71"/>
  <c r="D58" i="71"/>
  <c r="D62" i="71"/>
  <c r="C58" i="69"/>
  <c r="K14" i="56"/>
  <c r="L14" i="56" s="1"/>
  <c r="K10" i="56"/>
  <c r="K78" i="56"/>
  <c r="K76" i="56"/>
  <c r="K74" i="56"/>
  <c r="K72" i="56"/>
  <c r="K70" i="56"/>
  <c r="K68" i="56"/>
  <c r="AE68" i="56" s="1"/>
  <c r="K66" i="56"/>
  <c r="L66" i="56" s="1"/>
  <c r="K64" i="56"/>
  <c r="K62" i="56"/>
  <c r="AE62" i="56" s="1"/>
  <c r="K60" i="56"/>
  <c r="K58" i="56"/>
  <c r="AE58" i="56" s="1"/>
  <c r="K56" i="56"/>
  <c r="L56" i="56" s="1"/>
  <c r="K54" i="56"/>
  <c r="K52" i="56"/>
  <c r="K50" i="56"/>
  <c r="L50" i="56"/>
  <c r="K48" i="56"/>
  <c r="K46" i="56"/>
  <c r="AE46" i="56" s="1"/>
  <c r="K44" i="56"/>
  <c r="AE44" i="56" s="1"/>
  <c r="V44" i="56"/>
  <c r="K42" i="56"/>
  <c r="V42" i="56" s="1"/>
  <c r="C74" i="69"/>
  <c r="K79" i="56"/>
  <c r="L79" i="56" s="1"/>
  <c r="K77" i="56"/>
  <c r="K75" i="56"/>
  <c r="AE75" i="56" s="1"/>
  <c r="K73" i="56"/>
  <c r="K71" i="56"/>
  <c r="K69" i="56"/>
  <c r="K67" i="56"/>
  <c r="K65" i="56"/>
  <c r="K63" i="56"/>
  <c r="AE63" i="56" s="1"/>
  <c r="K61" i="56"/>
  <c r="K59" i="56"/>
  <c r="K57" i="56"/>
  <c r="K55" i="56"/>
  <c r="V55" i="56"/>
  <c r="K53" i="56"/>
  <c r="V53" i="56"/>
  <c r="K51" i="56"/>
  <c r="AE51" i="56"/>
  <c r="K49" i="56"/>
  <c r="AE49" i="56" s="1"/>
  <c r="K47" i="56"/>
  <c r="K45" i="56"/>
  <c r="K43" i="56"/>
  <c r="V43" i="56" s="1"/>
  <c r="G8" i="56"/>
  <c r="G10" i="56"/>
  <c r="K31" i="56"/>
  <c r="L31" i="56" s="1"/>
  <c r="G35" i="56"/>
  <c r="G39" i="56"/>
  <c r="G45" i="56"/>
  <c r="G49" i="56"/>
  <c r="G53" i="56"/>
  <c r="G57" i="56"/>
  <c r="G61" i="56"/>
  <c r="G65" i="56"/>
  <c r="G69" i="56"/>
  <c r="G73" i="56"/>
  <c r="R2" i="35"/>
  <c r="J2" i="35"/>
  <c r="N2" i="35"/>
  <c r="F2" i="35"/>
  <c r="L2" i="35"/>
  <c r="I17" i="35"/>
  <c r="J6" i="35"/>
  <c r="P8" i="35"/>
  <c r="H8" i="35"/>
  <c r="T8" i="35"/>
  <c r="L8" i="35"/>
  <c r="D8" i="35"/>
  <c r="R8" i="35"/>
  <c r="F11" i="35"/>
  <c r="J12" i="35"/>
  <c r="D12" i="35"/>
  <c r="F13" i="35"/>
  <c r="T14" i="35"/>
  <c r="L14" i="35"/>
  <c r="D14" i="35"/>
  <c r="P14" i="35"/>
  <c r="H14" i="35"/>
  <c r="R14" i="35"/>
  <c r="D19" i="52"/>
  <c r="C19" i="52"/>
  <c r="D23" i="52"/>
  <c r="C23" i="52"/>
  <c r="D27" i="52"/>
  <c r="C36" i="52"/>
  <c r="D36" i="52"/>
  <c r="G8" i="24"/>
  <c r="G12" i="24"/>
  <c r="G15" i="24"/>
  <c r="G18" i="24"/>
  <c r="G22" i="24"/>
  <c r="G27" i="24"/>
  <c r="G31" i="24"/>
  <c r="G38" i="24"/>
  <c r="G42" i="24"/>
  <c r="D55" i="71"/>
  <c r="E14" i="69"/>
  <c r="D15" i="69"/>
  <c r="D16" i="69" s="1"/>
  <c r="E22" i="69"/>
  <c r="D23" i="69"/>
  <c r="D24" i="69"/>
  <c r="E35" i="69"/>
  <c r="D36" i="69"/>
  <c r="E43" i="69"/>
  <c r="E56" i="69"/>
  <c r="D57" i="69"/>
  <c r="L7" i="70"/>
  <c r="B23" i="53"/>
  <c r="E64" i="69"/>
  <c r="F64" i="69" s="1"/>
  <c r="D65" i="69"/>
  <c r="D66" i="69" s="1"/>
  <c r="E72" i="69"/>
  <c r="D73" i="69"/>
  <c r="D74" i="69"/>
  <c r="G30" i="56"/>
  <c r="G28" i="56"/>
  <c r="G26" i="56"/>
  <c r="G22" i="56"/>
  <c r="G20" i="56"/>
  <c r="G18" i="56"/>
  <c r="G16" i="56"/>
  <c r="G13" i="56"/>
  <c r="G9" i="56"/>
  <c r="G6" i="56"/>
  <c r="G31" i="56"/>
  <c r="G29" i="56"/>
  <c r="G27" i="56"/>
  <c r="G25" i="56"/>
  <c r="G23" i="56"/>
  <c r="G21" i="56"/>
  <c r="G19" i="56"/>
  <c r="G17" i="56"/>
  <c r="G11" i="56"/>
  <c r="G7" i="56"/>
  <c r="G34" i="56"/>
  <c r="G38" i="56"/>
  <c r="G44" i="56"/>
  <c r="G48" i="56"/>
  <c r="G52" i="56"/>
  <c r="G56" i="56"/>
  <c r="G60" i="56"/>
  <c r="G64" i="56"/>
  <c r="G68" i="56"/>
  <c r="G72" i="56"/>
  <c r="G76" i="56"/>
  <c r="P2" i="35"/>
  <c r="J7" i="35"/>
  <c r="F8" i="35"/>
  <c r="T9" i="35"/>
  <c r="L9" i="35"/>
  <c r="D9" i="35"/>
  <c r="P9" i="35"/>
  <c r="H9" i="35"/>
  <c r="R9" i="35"/>
  <c r="J11" i="35"/>
  <c r="F12" i="35"/>
  <c r="N12" i="35"/>
  <c r="J13" i="35"/>
  <c r="F14" i="35"/>
  <c r="P15" i="35"/>
  <c r="D15" i="35"/>
  <c r="R15" i="35"/>
  <c r="D6" i="52"/>
  <c r="C6" i="52"/>
  <c r="C40" i="52"/>
  <c r="D40" i="52"/>
  <c r="K40" i="56"/>
  <c r="K38" i="56"/>
  <c r="L38" i="56" s="1"/>
  <c r="AE38" i="56"/>
  <c r="K36" i="56"/>
  <c r="K34" i="56"/>
  <c r="K32" i="56"/>
  <c r="V32" i="56" s="1"/>
  <c r="C62" i="69"/>
  <c r="K39" i="56"/>
  <c r="K37" i="56"/>
  <c r="K35" i="56"/>
  <c r="V35" i="56"/>
  <c r="G33" i="56"/>
  <c r="G37" i="56"/>
  <c r="G43" i="56"/>
  <c r="G47" i="56"/>
  <c r="G51" i="56"/>
  <c r="G55" i="56"/>
  <c r="G59" i="56"/>
  <c r="G63" i="56"/>
  <c r="G67" i="56"/>
  <c r="G71" i="56"/>
  <c r="G75" i="56"/>
  <c r="G79" i="56"/>
  <c r="AG6" i="56"/>
  <c r="AG5" i="56" s="1"/>
  <c r="D2" i="35"/>
  <c r="T2" i="35"/>
  <c r="N7" i="35"/>
  <c r="J8" i="35"/>
  <c r="P10" i="35"/>
  <c r="H10" i="35"/>
  <c r="T10" i="35"/>
  <c r="L10" i="35"/>
  <c r="D10" i="35"/>
  <c r="R10" i="35"/>
  <c r="N11" i="35"/>
  <c r="R12" i="35"/>
  <c r="N13" i="35"/>
  <c r="J14" i="35"/>
  <c r="T16" i="35"/>
  <c r="L16" i="35"/>
  <c r="D16" i="35"/>
  <c r="P16" i="35"/>
  <c r="H16" i="35"/>
  <c r="R16" i="35"/>
  <c r="D31" i="52"/>
  <c r="C31" i="52"/>
  <c r="D39" i="52"/>
  <c r="C39" i="52"/>
  <c r="J3" i="35"/>
  <c r="J17" i="35" s="1"/>
  <c r="R3" i="35"/>
  <c r="J5" i="35"/>
  <c r="C43" i="52"/>
  <c r="D44" i="52"/>
  <c r="C47" i="52"/>
  <c r="D48" i="52"/>
  <c r="C51" i="52"/>
  <c r="D52" i="52"/>
  <c r="N63" i="5"/>
  <c r="I65" i="5"/>
  <c r="BN50" i="6" s="1"/>
  <c r="BN91" i="6" s="1"/>
  <c r="I73" i="5"/>
  <c r="BV50" i="6" s="1"/>
  <c r="BV91" i="6" s="1"/>
  <c r="F3" i="35"/>
  <c r="J4" i="35"/>
  <c r="F5" i="35"/>
  <c r="N53" i="5"/>
  <c r="E15" i="5"/>
  <c r="F15" i="5" s="1"/>
  <c r="H15" i="5" s="1"/>
  <c r="I38" i="5"/>
  <c r="O2" i="5"/>
  <c r="N42" i="5"/>
  <c r="N47" i="5"/>
  <c r="L69" i="31"/>
  <c r="L77" i="31"/>
  <c r="J79" i="31"/>
  <c r="J83" i="31"/>
  <c r="L85" i="31"/>
  <c r="J87" i="31"/>
  <c r="L89" i="31"/>
  <c r="J91" i="31"/>
  <c r="L93" i="31"/>
  <c r="J95" i="31"/>
  <c r="J99" i="31"/>
  <c r="L101" i="31"/>
  <c r="J103" i="31"/>
  <c r="L105" i="31"/>
  <c r="J107" i="31"/>
  <c r="L109" i="31"/>
  <c r="J111" i="31"/>
  <c r="L113" i="31"/>
  <c r="L117" i="31"/>
  <c r="J119" i="31"/>
  <c r="L121" i="31"/>
  <c r="J123" i="31"/>
  <c r="L125" i="31"/>
  <c r="J127" i="31"/>
  <c r="J131" i="31"/>
  <c r="L133" i="31"/>
  <c r="J135" i="31"/>
  <c r="L137" i="31"/>
  <c r="J139" i="31"/>
  <c r="L141" i="31"/>
  <c r="J143" i="31"/>
  <c r="J147" i="31"/>
  <c r="L149" i="31"/>
  <c r="J151" i="31"/>
  <c r="L153" i="31"/>
  <c r="J155" i="31"/>
  <c r="L157" i="31"/>
  <c r="J159" i="31"/>
  <c r="J163" i="31"/>
  <c r="L165" i="31"/>
  <c r="J167" i="31"/>
  <c r="K168" i="31"/>
  <c r="L169" i="31"/>
  <c r="K79" i="31"/>
  <c r="K83" i="31"/>
  <c r="K87" i="31"/>
  <c r="K91" i="31"/>
  <c r="K95" i="31"/>
  <c r="K99" i="31"/>
  <c r="K103" i="31"/>
  <c r="K107" i="31"/>
  <c r="K111" i="31"/>
  <c r="K119" i="31"/>
  <c r="K123" i="31"/>
  <c r="K127" i="31"/>
  <c r="K131" i="31"/>
  <c r="K135" i="31"/>
  <c r="K139" i="31"/>
  <c r="K143" i="31"/>
  <c r="K147" i="31"/>
  <c r="K151" i="31"/>
  <c r="K155" i="31"/>
  <c r="K159" i="31"/>
  <c r="K163" i="31"/>
  <c r="K167" i="31"/>
  <c r="B2312" i="53"/>
  <c r="H20" i="70"/>
  <c r="H21" i="70"/>
  <c r="H42" i="70"/>
  <c r="H26" i="70"/>
  <c r="H8" i="70"/>
  <c r="H29" i="70"/>
  <c r="AI3" i="9"/>
  <c r="W79" i="56"/>
  <c r="T49" i="24"/>
  <c r="T34" i="24"/>
  <c r="T48" i="24"/>
  <c r="W20" i="56"/>
  <c r="W73" i="56"/>
  <c r="W66" i="56"/>
  <c r="W17" i="56"/>
  <c r="AE17" i="9"/>
  <c r="T6" i="24"/>
  <c r="W7" i="56"/>
  <c r="W25" i="56"/>
  <c r="W59" i="56"/>
  <c r="AG3" i="9"/>
  <c r="J33" i="31"/>
  <c r="L33" i="31"/>
  <c r="K33" i="31"/>
  <c r="D3" i="11"/>
  <c r="E6" i="31"/>
  <c r="E8" i="31"/>
  <c r="D6" i="31"/>
  <c r="D7" i="31"/>
  <c r="D5" i="31"/>
  <c r="D8" i="31"/>
  <c r="E4" i="31"/>
  <c r="F6" i="31"/>
  <c r="F8" i="31"/>
  <c r="E10" i="31"/>
  <c r="E3" i="31"/>
  <c r="E5" i="31"/>
  <c r="E7" i="31"/>
  <c r="F10" i="31"/>
  <c r="F5" i="31"/>
  <c r="F7" i="31"/>
  <c r="D4" i="31"/>
  <c r="D3" i="31"/>
  <c r="B3104" i="53"/>
  <c r="B3074" i="53"/>
  <c r="B1513" i="53"/>
  <c r="B1572" i="53"/>
  <c r="B3014" i="53"/>
  <c r="B3044" i="53"/>
  <c r="B3114" i="53"/>
  <c r="B3010" i="53"/>
  <c r="B3040" i="53"/>
  <c r="B3080" i="53"/>
  <c r="B3110" i="53"/>
  <c r="B3105" i="53"/>
  <c r="B3075" i="53"/>
  <c r="B3111" i="53"/>
  <c r="B3081" i="53"/>
  <c r="B3107" i="53"/>
  <c r="B3077" i="53"/>
  <c r="B2656" i="53"/>
  <c r="B2686" i="53"/>
  <c r="B2879" i="53"/>
  <c r="B2998" i="53"/>
  <c r="D70" i="71"/>
  <c r="D73" i="71"/>
  <c r="D65" i="71"/>
  <c r="D67" i="71"/>
  <c r="D74" i="71"/>
  <c r="AC71" i="9"/>
  <c r="Z71" i="9"/>
  <c r="B2416" i="53"/>
  <c r="B2446" i="53"/>
  <c r="B2136" i="53"/>
  <c r="B2431" i="53"/>
  <c r="B1545" i="53"/>
  <c r="B2081" i="53"/>
  <c r="W75" i="56"/>
  <c r="W53" i="56"/>
  <c r="W19" i="56"/>
  <c r="W8" i="56"/>
  <c r="T15" i="24"/>
  <c r="W67" i="56"/>
  <c r="W11" i="56"/>
  <c r="T16" i="24"/>
  <c r="W62" i="56"/>
  <c r="T32" i="24"/>
  <c r="W72" i="56"/>
  <c r="W16" i="56"/>
  <c r="T8" i="24"/>
  <c r="W14" i="56"/>
  <c r="W58" i="56"/>
  <c r="W76" i="56"/>
  <c r="W23" i="56"/>
  <c r="W64" i="56"/>
  <c r="W54" i="56"/>
  <c r="T25" i="24"/>
  <c r="T28" i="24"/>
  <c r="T35" i="24"/>
  <c r="T45" i="24"/>
  <c r="W49" i="56"/>
  <c r="T12" i="24"/>
  <c r="W61" i="56"/>
  <c r="W71" i="56"/>
  <c r="W55" i="56"/>
  <c r="W18" i="56"/>
  <c r="W70" i="56"/>
  <c r="W68" i="56"/>
  <c r="T23" i="24"/>
  <c r="W42" i="56"/>
  <c r="W22" i="56"/>
  <c r="W21" i="56"/>
  <c r="W78" i="56"/>
  <c r="W32" i="56"/>
  <c r="W9" i="56"/>
  <c r="W77" i="56"/>
  <c r="W30" i="56"/>
  <c r="T39" i="24"/>
  <c r="T18" i="24"/>
  <c r="W74" i="56"/>
  <c r="W65" i="56"/>
  <c r="T37" i="24"/>
  <c r="T14" i="24"/>
  <c r="W39" i="56"/>
  <c r="W69" i="56"/>
  <c r="W43" i="56"/>
  <c r="W46" i="56"/>
  <c r="W47" i="56"/>
  <c r="T7" i="24"/>
  <c r="D71" i="71"/>
  <c r="D75" i="71"/>
  <c r="D87" i="71" s="1"/>
  <c r="D94" i="71" s="1"/>
  <c r="D72" i="71"/>
  <c r="D64" i="71"/>
  <c r="D68" i="71"/>
  <c r="B2853" i="53"/>
  <c r="B1965" i="53"/>
  <c r="B2315" i="53"/>
  <c r="B1787" i="53"/>
  <c r="B2139" i="53"/>
  <c r="B2913" i="53"/>
  <c r="B2794" i="53"/>
  <c r="B2674" i="53"/>
  <c r="B2671" i="53"/>
  <c r="B1486" i="53"/>
  <c r="B2554" i="53"/>
  <c r="B2972" i="53"/>
  <c r="B2494" i="53"/>
  <c r="B1548" i="53"/>
  <c r="B2614" i="53"/>
  <c r="B2434" i="53"/>
  <c r="B2375" i="53"/>
  <c r="B2194" i="53"/>
  <c r="B2551" i="53"/>
  <c r="B2020" i="53"/>
  <c r="B2256" i="53"/>
  <c r="B2023" i="53"/>
  <c r="B1784" i="53"/>
  <c r="B2197" i="53"/>
  <c r="B1847" i="53"/>
  <c r="B2734" i="53"/>
  <c r="B2078" i="53"/>
  <c r="B2791" i="53"/>
  <c r="B1307" i="53"/>
  <c r="AC24" i="9"/>
  <c r="AC32" i="9"/>
  <c r="AD47" i="9"/>
  <c r="AD32" i="9"/>
  <c r="AB35" i="9"/>
  <c r="AB45" i="9"/>
  <c r="AF57" i="9"/>
  <c r="AF48" i="9"/>
  <c r="AB49" i="9"/>
  <c r="V49" i="9"/>
  <c r="AE57" i="9"/>
  <c r="AI41" i="9"/>
  <c r="AH57" i="9"/>
  <c r="W54" i="9"/>
  <c r="AB41" i="9"/>
  <c r="AG48" i="9"/>
  <c r="V41" i="9"/>
  <c r="AA48" i="9"/>
  <c r="T46" i="24"/>
  <c r="T41" i="24"/>
  <c r="W26" i="56"/>
  <c r="T38" i="24"/>
  <c r="W10" i="56"/>
  <c r="T9" i="24"/>
  <c r="AE39" i="56"/>
  <c r="L39" i="56"/>
  <c r="AE36" i="56"/>
  <c r="L36" i="56"/>
  <c r="G64" i="69"/>
  <c r="H64" i="69" s="1"/>
  <c r="E65" i="69"/>
  <c r="E66" i="69"/>
  <c r="F43" i="69"/>
  <c r="F44" i="69"/>
  <c r="F45" i="69"/>
  <c r="E44" i="69"/>
  <c r="E45" i="69" s="1"/>
  <c r="F22" i="69"/>
  <c r="E23" i="69"/>
  <c r="K6" i="56" s="1"/>
  <c r="L49" i="56"/>
  <c r="AE57" i="56"/>
  <c r="L57" i="56"/>
  <c r="AE65" i="56"/>
  <c r="L65" i="56"/>
  <c r="AE48" i="56"/>
  <c r="L48" i="56"/>
  <c r="AE64" i="56"/>
  <c r="L64" i="56"/>
  <c r="L10" i="56"/>
  <c r="AE10" i="56"/>
  <c r="W35" i="56"/>
  <c r="W63" i="56"/>
  <c r="T11" i="24"/>
  <c r="W45" i="56"/>
  <c r="D58" i="69"/>
  <c r="K8" i="56"/>
  <c r="L8" i="56" s="1"/>
  <c r="K7" i="56"/>
  <c r="D37" i="69"/>
  <c r="AE43" i="56"/>
  <c r="L51" i="56"/>
  <c r="AE59" i="56"/>
  <c r="L59" i="56"/>
  <c r="AE67" i="56"/>
  <c r="L67" i="56"/>
  <c r="AE42" i="56"/>
  <c r="L42" i="56"/>
  <c r="AE50" i="56"/>
  <c r="L58" i="56"/>
  <c r="AE66" i="56"/>
  <c r="AE14" i="56"/>
  <c r="F68" i="69"/>
  <c r="E69" i="69"/>
  <c r="E70" i="69"/>
  <c r="F47" i="69"/>
  <c r="G47" i="69" s="1"/>
  <c r="G48" i="69" s="1"/>
  <c r="G49" i="69" s="1"/>
  <c r="E48" i="69"/>
  <c r="E49" i="69"/>
  <c r="E32" i="69"/>
  <c r="E33" i="69" s="1"/>
  <c r="AE35" i="56"/>
  <c r="L35" i="56"/>
  <c r="AE32" i="56"/>
  <c r="L32" i="56"/>
  <c r="F72" i="69"/>
  <c r="F73" i="69"/>
  <c r="F74" i="69"/>
  <c r="E73" i="69"/>
  <c r="E74" i="69"/>
  <c r="F14" i="69"/>
  <c r="G14" i="69" s="1"/>
  <c r="F15" i="69"/>
  <c r="F16" i="69" s="1"/>
  <c r="E15" i="69"/>
  <c r="E16" i="69" s="1"/>
  <c r="AE45" i="56"/>
  <c r="L45" i="56"/>
  <c r="AE53" i="56"/>
  <c r="L53" i="56"/>
  <c r="AE61" i="56"/>
  <c r="L61" i="56"/>
  <c r="AE69" i="56"/>
  <c r="L69" i="56"/>
  <c r="AE77" i="56"/>
  <c r="L77" i="56"/>
  <c r="L44" i="56"/>
  <c r="AE52" i="56"/>
  <c r="L52" i="56"/>
  <c r="AE60" i="56"/>
  <c r="L60" i="56"/>
  <c r="AE76" i="56"/>
  <c r="L76" i="56"/>
  <c r="L31" i="70"/>
  <c r="B564" i="53" s="1"/>
  <c r="B303" i="53"/>
  <c r="D41" i="69"/>
  <c r="P43" i="5"/>
  <c r="Q38" i="5"/>
  <c r="P38" i="5"/>
  <c r="AE34" i="56"/>
  <c r="L34" i="56"/>
  <c r="AE47" i="56"/>
  <c r="L47" i="56"/>
  <c r="L55" i="56"/>
  <c r="AE79" i="56"/>
  <c r="AE54" i="56"/>
  <c r="L54" i="56"/>
  <c r="L62" i="56"/>
  <c r="AE78" i="56"/>
  <c r="L78" i="56"/>
  <c r="F76" i="69"/>
  <c r="G76" i="69" s="1"/>
  <c r="G77" i="69" s="1"/>
  <c r="G78" i="69" s="1"/>
  <c r="F77" i="69"/>
  <c r="F78" i="69" s="1"/>
  <c r="E77" i="69"/>
  <c r="E78" i="69" s="1"/>
  <c r="F39" i="69"/>
  <c r="E40" i="69"/>
  <c r="E41" i="69" s="1"/>
  <c r="F18" i="69"/>
  <c r="G18" i="69" s="1"/>
  <c r="H18" i="69" s="1"/>
  <c r="I18" i="69" s="1"/>
  <c r="I19" i="69" s="1"/>
  <c r="I20" i="69" s="1"/>
  <c r="F19" i="69"/>
  <c r="F20" i="69"/>
  <c r="E19" i="69"/>
  <c r="E20" i="69"/>
  <c r="T47" i="24"/>
  <c r="W57" i="56"/>
  <c r="W13" i="56"/>
  <c r="B2293" i="53"/>
  <c r="B3084" i="53"/>
  <c r="B3078" i="53"/>
  <c r="B3108" i="53"/>
  <c r="B3054" i="53"/>
  <c r="B3024" i="53"/>
  <c r="B3106" i="53"/>
  <c r="B3076" i="53"/>
  <c r="B3109" i="53"/>
  <c r="B3079" i="53"/>
  <c r="B3049" i="53"/>
  <c r="B3019" i="53"/>
  <c r="B3018" i="53"/>
  <c r="B3048" i="53"/>
  <c r="B3085" i="53"/>
  <c r="B3115" i="53"/>
  <c r="B3025" i="53"/>
  <c r="B3055" i="53"/>
  <c r="B2280" i="53"/>
  <c r="B2250" i="53"/>
  <c r="B2831" i="53"/>
  <c r="B2861" i="53"/>
  <c r="B2995" i="53"/>
  <c r="B1541" i="53"/>
  <c r="B2965" i="53"/>
  <c r="D78" i="71"/>
  <c r="D81" i="71"/>
  <c r="D79" i="71"/>
  <c r="D86" i="71"/>
  <c r="D84" i="71"/>
  <c r="D76" i="71"/>
  <c r="D77" i="71"/>
  <c r="D82" i="71"/>
  <c r="D80" i="71"/>
  <c r="D85" i="71"/>
  <c r="F65" i="69"/>
  <c r="F66" i="69" s="1"/>
  <c r="F69" i="69"/>
  <c r="F70" i="69" s="1"/>
  <c r="G68" i="69"/>
  <c r="H68" i="69"/>
  <c r="I68" i="69" s="1"/>
  <c r="I69" i="69" s="1"/>
  <c r="I70" i="69" s="1"/>
  <c r="G69" i="69"/>
  <c r="G70" i="69"/>
  <c r="G43" i="69"/>
  <c r="H43" i="69" s="1"/>
  <c r="E24" i="69"/>
  <c r="B1578" i="53"/>
  <c r="B1519" i="53"/>
  <c r="B1526" i="53"/>
  <c r="B2950" i="53"/>
  <c r="B2980" i="53"/>
  <c r="B3112" i="53"/>
  <c r="B3082" i="53"/>
  <c r="D97" i="71"/>
  <c r="G42" i="70" s="1"/>
  <c r="D91" i="71"/>
  <c r="D98" i="71"/>
  <c r="D93" i="71"/>
  <c r="D89" i="71"/>
  <c r="D99" i="71"/>
  <c r="D109" i="71" s="1"/>
  <c r="D96" i="71"/>
  <c r="D92" i="71"/>
  <c r="D88" i="71"/>
  <c r="B1638" i="53"/>
  <c r="B1608" i="53"/>
  <c r="B2458" i="53"/>
  <c r="B2428" i="53"/>
  <c r="B1544" i="53"/>
  <c r="B2968" i="53"/>
  <c r="B2849" i="53"/>
  <c r="B1340" i="53"/>
  <c r="B1369" i="53"/>
  <c r="B2059" i="53"/>
  <c r="B3113" i="53"/>
  <c r="B3083" i="53"/>
  <c r="B2425" i="53"/>
  <c r="B2455" i="53"/>
  <c r="B3087" i="53"/>
  <c r="B3117" i="53"/>
  <c r="B1399" i="53"/>
  <c r="B1429" i="53"/>
  <c r="B1757" i="53"/>
  <c r="B1727" i="53"/>
  <c r="B3123" i="53"/>
  <c r="B3093" i="53"/>
  <c r="B1280" i="53"/>
  <c r="B1310" i="53"/>
  <c r="B1459" i="53"/>
  <c r="B1489" i="53"/>
  <c r="B3051" i="53"/>
  <c r="B3047" i="53"/>
  <c r="B3050" i="53"/>
  <c r="B3046" i="53"/>
  <c r="B3017" i="53"/>
  <c r="B3015" i="53"/>
  <c r="B3020" i="53"/>
  <c r="B3021" i="53"/>
  <c r="B3045" i="53"/>
  <c r="B3016" i="53"/>
  <c r="B3023" i="53"/>
  <c r="B3052" i="53"/>
  <c r="B3022" i="53"/>
  <c r="B3053" i="53"/>
  <c r="B3057" i="53"/>
  <c r="B3027" i="53"/>
  <c r="B1697" i="53"/>
  <c r="B1667" i="53"/>
  <c r="B3033" i="53"/>
  <c r="B3063" i="53"/>
  <c r="AB9" i="9"/>
  <c r="Z17" i="9"/>
  <c r="AD17" i="9"/>
  <c r="AF25" i="9"/>
  <c r="AC25" i="9"/>
  <c r="AE25" i="9"/>
  <c r="AH21" i="9"/>
  <c r="AC17" i="9"/>
  <c r="W25" i="9"/>
  <c r="AH48" i="9"/>
  <c r="Y48" i="9"/>
  <c r="AD56" i="9"/>
  <c r="Z56" i="9"/>
  <c r="BW21" i="17"/>
  <c r="H65" i="69"/>
  <c r="H66" i="69"/>
  <c r="I22" i="5"/>
  <c r="N22" i="5"/>
  <c r="I32" i="5"/>
  <c r="P50" i="6" s="1"/>
  <c r="N32" i="5"/>
  <c r="I49" i="5"/>
  <c r="I68" i="5"/>
  <c r="BQ50" i="6" s="1"/>
  <c r="BQ91" i="6" s="1"/>
  <c r="N68" i="5"/>
  <c r="I72" i="5"/>
  <c r="BU50" i="6" s="1"/>
  <c r="BU91" i="6" s="1"/>
  <c r="I43" i="69"/>
  <c r="I44" i="69"/>
  <c r="I45" i="69"/>
  <c r="H44" i="69"/>
  <c r="H45" i="69" s="1"/>
  <c r="N26" i="5"/>
  <c r="I26" i="5"/>
  <c r="J50" i="6" s="1"/>
  <c r="N40" i="5"/>
  <c r="I40" i="5"/>
  <c r="I44" i="5"/>
  <c r="N44" i="5"/>
  <c r="N61" i="5"/>
  <c r="I61" i="5"/>
  <c r="BJ50" i="6" s="1"/>
  <c r="BJ91" i="6" s="1"/>
  <c r="I28" i="5"/>
  <c r="L50" i="6" s="1"/>
  <c r="N28" i="5"/>
  <c r="N33" i="5"/>
  <c r="I33" i="5"/>
  <c r="Q50" i="6" s="1"/>
  <c r="I39" i="5"/>
  <c r="Q2" i="5" s="1"/>
  <c r="N39" i="5"/>
  <c r="N48" i="5"/>
  <c r="I48" i="5"/>
  <c r="I54" i="5"/>
  <c r="AN50" i="6" s="1"/>
  <c r="AN91" i="6" s="1"/>
  <c r="N69" i="5"/>
  <c r="I69" i="5"/>
  <c r="BR50" i="6" s="1"/>
  <c r="BR91" i="6" s="1"/>
  <c r="I41" i="5"/>
  <c r="N41" i="5"/>
  <c r="I59" i="5"/>
  <c r="BG50" i="6" s="1"/>
  <c r="BG91" i="6" s="1"/>
  <c r="N59" i="5"/>
  <c r="N64" i="5"/>
  <c r="I64" i="5"/>
  <c r="BM50" i="6" s="1"/>
  <c r="I15" i="9"/>
  <c r="I18" i="9"/>
  <c r="I16" i="9"/>
  <c r="I17" i="9"/>
  <c r="H43" i="70"/>
  <c r="H44" i="70"/>
  <c r="BW11" i="17"/>
  <c r="F19" i="3"/>
  <c r="C22" i="4" s="1"/>
  <c r="F35" i="3"/>
  <c r="F36" i="3" s="1"/>
  <c r="I12" i="3"/>
  <c r="G27" i="3"/>
  <c r="I39" i="3"/>
  <c r="K43" i="3"/>
  <c r="C81" i="4" s="1"/>
  <c r="J23" i="3"/>
  <c r="F39" i="3"/>
  <c r="C67" i="4" s="1"/>
  <c r="H12" i="3"/>
  <c r="H31" i="3"/>
  <c r="C51" i="4" s="1"/>
  <c r="G8" i="3"/>
  <c r="C27" i="3"/>
  <c r="K35" i="3"/>
  <c r="F23" i="3"/>
  <c r="J39" i="3"/>
  <c r="J40" i="3" s="1"/>
  <c r="I8" i="3"/>
  <c r="C7" i="4" s="1"/>
  <c r="H7" i="1" s="1"/>
  <c r="E19" i="3"/>
  <c r="C21" i="4" s="1"/>
  <c r="K23" i="3"/>
  <c r="G31" i="3"/>
  <c r="C50" i="4" s="1"/>
  <c r="C39" i="3"/>
  <c r="E43" i="3"/>
  <c r="C75" i="4" s="1"/>
  <c r="J43" i="3"/>
  <c r="C80" i="4"/>
  <c r="N15" i="35"/>
  <c r="H30" i="70"/>
  <c r="H34" i="70"/>
  <c r="H40" i="70"/>
  <c r="H33" i="70"/>
  <c r="H36" i="70"/>
  <c r="G19" i="69"/>
  <c r="G20" i="69" s="1"/>
  <c r="AE22" i="56"/>
  <c r="I50" i="5"/>
  <c r="Q47" i="5" s="1"/>
  <c r="H23" i="3"/>
  <c r="H39" i="3"/>
  <c r="C19" i="3"/>
  <c r="E31" i="3"/>
  <c r="C43" i="3"/>
  <c r="C73" i="4"/>
  <c r="J34" i="24" s="1"/>
  <c r="H8" i="3"/>
  <c r="H27" i="3"/>
  <c r="H28" i="3" s="1"/>
  <c r="J19" i="3"/>
  <c r="C26" i="4" s="1"/>
  <c r="J35" i="3"/>
  <c r="E12" i="3"/>
  <c r="K27" i="3"/>
  <c r="D8" i="3"/>
  <c r="C2" i="4" s="1"/>
  <c r="D27" i="3"/>
  <c r="C12" i="3"/>
  <c r="C13" i="3" s="1"/>
  <c r="I19" i="3"/>
  <c r="E27" i="3"/>
  <c r="K31" i="3"/>
  <c r="G39" i="3"/>
  <c r="D53" i="71"/>
  <c r="J15" i="35"/>
  <c r="D12" i="52"/>
  <c r="H28" i="70"/>
  <c r="H27" i="70"/>
  <c r="H49" i="70"/>
  <c r="H9" i="70"/>
  <c r="H18" i="70"/>
  <c r="J8" i="3"/>
  <c r="J27" i="3"/>
  <c r="C8" i="3"/>
  <c r="C1" i="4" s="1"/>
  <c r="K19" i="3"/>
  <c r="K20" i="3" s="1"/>
  <c r="G35" i="3"/>
  <c r="F12" i="3"/>
  <c r="F13" i="3" s="1"/>
  <c r="J31" i="3"/>
  <c r="D43" i="3"/>
  <c r="C74" i="4"/>
  <c r="D23" i="3"/>
  <c r="D39" i="3"/>
  <c r="C65" i="4" s="1"/>
  <c r="G19" i="3"/>
  <c r="C23" i="4" s="1"/>
  <c r="H55" i="1" s="1"/>
  <c r="I31" i="3"/>
  <c r="J12" i="3"/>
  <c r="F31" i="3"/>
  <c r="H43" i="3"/>
  <c r="C78" i="4"/>
  <c r="G12" i="3"/>
  <c r="C14" i="4" s="1"/>
  <c r="C23" i="3"/>
  <c r="I27" i="3"/>
  <c r="E35" i="3"/>
  <c r="K39" i="3"/>
  <c r="H51" i="70"/>
  <c r="H7" i="70"/>
  <c r="H32" i="70"/>
  <c r="L44" i="70"/>
  <c r="B970" i="53" s="1"/>
  <c r="L43" i="70"/>
  <c r="B1028" i="53"/>
  <c r="AG4" i="9"/>
  <c r="AB4" i="9"/>
  <c r="AA4" i="9"/>
  <c r="B1560" i="53"/>
  <c r="B1337" i="53"/>
  <c r="B1575" i="53"/>
  <c r="Y62" i="9"/>
  <c r="AJ62" i="9"/>
  <c r="AB72" i="9"/>
  <c r="X65" i="9"/>
  <c r="V62" i="9"/>
  <c r="B2208" i="53"/>
  <c r="V4" i="11"/>
  <c r="AB4" i="11" s="1"/>
  <c r="AI4" i="9"/>
  <c r="AH4" i="9"/>
  <c r="Z4" i="9"/>
  <c r="AF4" i="9"/>
  <c r="B1844" i="53"/>
  <c r="AD62" i="9"/>
  <c r="Z62" i="9"/>
  <c r="Z72" i="9"/>
  <c r="AG65" i="9"/>
  <c r="AF65" i="9"/>
  <c r="B2323" i="53"/>
  <c r="B763" i="53"/>
  <c r="B2077" i="53"/>
  <c r="W31" i="9"/>
  <c r="AI31" i="9"/>
  <c r="B1516" i="53"/>
  <c r="Y31" i="9"/>
  <c r="AB31" i="9"/>
  <c r="B2223" i="53"/>
  <c r="BW31" i="17"/>
  <c r="BW41" i="17"/>
  <c r="BW17" i="17"/>
  <c r="BW28" i="17"/>
  <c r="I64" i="69"/>
  <c r="I65" i="69" s="1"/>
  <c r="I66" i="69" s="1"/>
  <c r="D102" i="71"/>
  <c r="N23" i="5"/>
  <c r="I23" i="5"/>
  <c r="G50" i="6" s="1"/>
  <c r="L13" i="70"/>
  <c r="B187" i="53" s="1"/>
  <c r="L14" i="70"/>
  <c r="L12" i="70"/>
  <c r="B158" i="53" s="1"/>
  <c r="D3" i="9"/>
  <c r="D7" i="9"/>
  <c r="D5" i="9"/>
  <c r="H38" i="70"/>
  <c r="H37" i="70"/>
  <c r="H13" i="70"/>
  <c r="H14" i="70"/>
  <c r="H11" i="70"/>
  <c r="H12" i="70"/>
  <c r="B1859" i="53"/>
  <c r="L37" i="70"/>
  <c r="B1467" i="53"/>
  <c r="B1437" i="53"/>
  <c r="C28" i="4"/>
  <c r="C24" i="3"/>
  <c r="J13" i="3"/>
  <c r="C17" i="4"/>
  <c r="C59" i="4"/>
  <c r="G36" i="3"/>
  <c r="C8" i="4"/>
  <c r="J9" i="3"/>
  <c r="C45" i="4"/>
  <c r="K28" i="3"/>
  <c r="C42" i="4"/>
  <c r="C19" i="4"/>
  <c r="H10" i="1" s="1"/>
  <c r="C20" i="3"/>
  <c r="F24" i="3"/>
  <c r="C31" i="4"/>
  <c r="H63" i="1"/>
  <c r="H32" i="3"/>
  <c r="C58" i="4"/>
  <c r="J26" i="24" s="1"/>
  <c r="C72" i="4"/>
  <c r="K40" i="3"/>
  <c r="G13" i="3"/>
  <c r="C52" i="4"/>
  <c r="I32" i="3"/>
  <c r="C27" i="4"/>
  <c r="G40" i="3"/>
  <c r="C68" i="4"/>
  <c r="C10" i="4"/>
  <c r="E13" i="3"/>
  <c r="C12" i="4"/>
  <c r="C69" i="4"/>
  <c r="H40" i="3"/>
  <c r="H56" i="1"/>
  <c r="E20" i="3"/>
  <c r="C63" i="4"/>
  <c r="K36" i="3"/>
  <c r="C70" i="4"/>
  <c r="I40" i="3"/>
  <c r="F20" i="3"/>
  <c r="Q64" i="5"/>
  <c r="E36" i="3"/>
  <c r="C57" i="4"/>
  <c r="G20" i="3"/>
  <c r="J32" i="3"/>
  <c r="C53" i="4"/>
  <c r="C9" i="3"/>
  <c r="K32" i="3"/>
  <c r="C54" i="4"/>
  <c r="J36" i="3"/>
  <c r="C62" i="4"/>
  <c r="H94" i="1"/>
  <c r="H80" i="1"/>
  <c r="J36" i="24"/>
  <c r="H91" i="1"/>
  <c r="J48" i="24"/>
  <c r="J46" i="24"/>
  <c r="J31" i="24"/>
  <c r="H96" i="1"/>
  <c r="H93" i="1"/>
  <c r="J32" i="24"/>
  <c r="C33" i="4"/>
  <c r="H24" i="3"/>
  <c r="C64" i="4"/>
  <c r="C40" i="3"/>
  <c r="C37" i="4"/>
  <c r="H40" i="1" s="1"/>
  <c r="C28" i="3"/>
  <c r="G28" i="3"/>
  <c r="C41" i="4"/>
  <c r="B2297" i="53"/>
  <c r="B2327" i="53"/>
  <c r="B2063" i="53"/>
  <c r="I28" i="3"/>
  <c r="C43" i="4"/>
  <c r="F32" i="3"/>
  <c r="C49" i="4"/>
  <c r="D40" i="3"/>
  <c r="C13" i="4"/>
  <c r="E28" i="3"/>
  <c r="C39" i="4"/>
  <c r="D9" i="3"/>
  <c r="E32" i="3"/>
  <c r="C48" i="4"/>
  <c r="G32" i="3"/>
  <c r="C5" i="4"/>
  <c r="G9" i="3"/>
  <c r="C35" i="4"/>
  <c r="J24" i="3"/>
  <c r="B2070" i="53"/>
  <c r="B2334" i="53"/>
  <c r="B2300" i="53"/>
  <c r="B2333" i="53"/>
  <c r="B2337" i="53"/>
  <c r="B2069" i="53"/>
  <c r="B2304" i="53"/>
  <c r="B2079" i="53"/>
  <c r="B2064" i="53"/>
  <c r="B2066" i="53"/>
  <c r="B2330" i="53"/>
  <c r="B2303" i="53"/>
  <c r="B2343" i="53"/>
  <c r="B2313" i="53"/>
  <c r="B2341" i="53"/>
  <c r="B2311" i="53"/>
  <c r="B2314" i="53"/>
  <c r="B2080" i="53"/>
  <c r="B2344" i="53"/>
  <c r="H38" i="1"/>
  <c r="H39" i="1"/>
  <c r="H37" i="1"/>
  <c r="H58" i="1"/>
  <c r="B2073" i="53"/>
  <c r="B2307" i="53"/>
  <c r="H61" i="1"/>
  <c r="H11" i="1"/>
  <c r="H26" i="1"/>
  <c r="H57" i="1"/>
  <c r="H13" i="1"/>
  <c r="B2067" i="53"/>
  <c r="B2065" i="53"/>
  <c r="B2331" i="53"/>
  <c r="B2338" i="53"/>
  <c r="B2298" i="53"/>
  <c r="B2328" i="53"/>
  <c r="B2308" i="53"/>
  <c r="B2068" i="53"/>
  <c r="B2301" i="53"/>
  <c r="B2302" i="53"/>
  <c r="B2332" i="53"/>
  <c r="B2074" i="53"/>
  <c r="B2071" i="53"/>
  <c r="B2329" i="53"/>
  <c r="B2299" i="53"/>
  <c r="B2335" i="53"/>
  <c r="B2305" i="53"/>
  <c r="B2130" i="53"/>
  <c r="B2340" i="53"/>
  <c r="B2306" i="53"/>
  <c r="B2336" i="53"/>
  <c r="B2310" i="53"/>
  <c r="B2346" i="53"/>
  <c r="B2316" i="53"/>
  <c r="B2072" i="53"/>
  <c r="B2076" i="53"/>
  <c r="B2082" i="53"/>
  <c r="B1936" i="53"/>
  <c r="B1906" i="53"/>
  <c r="B2357" i="53"/>
  <c r="AA56" i="9"/>
  <c r="AK53" i="9"/>
  <c r="AK49" i="9"/>
  <c r="AJ49" i="9"/>
  <c r="Y49" i="9"/>
  <c r="AG49" i="9"/>
  <c r="B1366" i="53"/>
  <c r="B2491" i="53"/>
  <c r="AF38" i="9"/>
  <c r="V53" i="9"/>
  <c r="AH38" i="9"/>
  <c r="AB38" i="9"/>
  <c r="Y56" i="9"/>
  <c r="Z49" i="9"/>
  <c r="Z53" i="9"/>
  <c r="V38" i="9"/>
  <c r="AI49" i="9"/>
  <c r="AF31" i="9"/>
  <c r="AD31" i="9"/>
  <c r="AF27" i="9"/>
  <c r="AD11" i="9"/>
  <c r="B2402" i="53"/>
  <c r="B2165" i="53"/>
  <c r="AA49" i="9"/>
  <c r="AH49" i="9"/>
  <c r="W49" i="9"/>
  <c r="X49" i="9"/>
  <c r="AC53" i="9"/>
  <c r="AA31" i="9"/>
  <c r="AH31" i="9"/>
  <c r="AJ11" i="9"/>
  <c r="AA11" i="9"/>
  <c r="W11" i="9"/>
  <c r="BW16" i="17"/>
  <c r="BW32" i="17"/>
  <c r="W9" i="70"/>
  <c r="B1247" i="53"/>
  <c r="B1218" i="53"/>
  <c r="B956" i="53"/>
  <c r="B1396" i="53"/>
  <c r="B666" i="53"/>
  <c r="B1072" i="53"/>
  <c r="Y4" i="9"/>
  <c r="G35" i="70"/>
  <c r="B705" i="53" s="1"/>
  <c r="AH71" i="9"/>
  <c r="AG25" i="9"/>
  <c r="B1991" i="53"/>
  <c r="B2179" i="53"/>
  <c r="B1101" i="53"/>
  <c r="B1456" i="53"/>
  <c r="B695" i="53"/>
  <c r="B1814" i="53"/>
  <c r="B840" i="53"/>
  <c r="B55" i="53"/>
  <c r="B1188" i="53"/>
  <c r="AF47" i="9"/>
  <c r="V57" i="9"/>
  <c r="Y71" i="9"/>
  <c r="AJ71" i="9"/>
  <c r="AG71" i="9"/>
  <c r="W71" i="9"/>
  <c r="B1635" i="53"/>
  <c r="B825" i="53"/>
  <c r="B1754" i="53"/>
  <c r="B811" i="53"/>
  <c r="BW12" i="17"/>
  <c r="BW10" i="17"/>
  <c r="BW9" i="17"/>
  <c r="BW37" i="17"/>
  <c r="BW26" i="17"/>
  <c r="B154" i="53"/>
  <c r="B11" i="53"/>
  <c r="H45" i="70"/>
  <c r="G72" i="69"/>
  <c r="Q40" i="5"/>
  <c r="R40" i="5" s="1"/>
  <c r="R38" i="5"/>
  <c r="C31" i="3"/>
  <c r="D35" i="3"/>
  <c r="F43" i="3"/>
  <c r="C76" i="4"/>
  <c r="H35" i="3"/>
  <c r="E39" i="3"/>
  <c r="E40" i="3" s="1"/>
  <c r="D12" i="3"/>
  <c r="D13" i="3" s="1"/>
  <c r="G23" i="3"/>
  <c r="H19" i="3"/>
  <c r="D19" i="3"/>
  <c r="I23" i="3"/>
  <c r="C34" i="4" s="1"/>
  <c r="I43" i="3"/>
  <c r="C79" i="4"/>
  <c r="K12" i="3"/>
  <c r="C35" i="3"/>
  <c r="F27" i="3"/>
  <c r="F28" i="3" s="1"/>
  <c r="G43" i="3"/>
  <c r="C77" i="4"/>
  <c r="K8" i="3"/>
  <c r="I35" i="3"/>
  <c r="E8" i="3"/>
  <c r="E23" i="3"/>
  <c r="F8" i="3"/>
  <c r="D31" i="3"/>
  <c r="N34" i="5"/>
  <c r="I34" i="5"/>
  <c r="R50" i="6" s="1"/>
  <c r="D106" i="71"/>
  <c r="D105" i="71"/>
  <c r="I24" i="5"/>
  <c r="H50" i="6" s="1"/>
  <c r="N24" i="5"/>
  <c r="N30" i="5"/>
  <c r="I30" i="5"/>
  <c r="N50" i="6" s="1"/>
  <c r="I46" i="5"/>
  <c r="N46" i="5"/>
  <c r="N57" i="5"/>
  <c r="I57" i="5"/>
  <c r="BE50" i="6" s="1"/>
  <c r="BE91" i="6" s="1"/>
  <c r="I66" i="5"/>
  <c r="BO50" i="6" s="1"/>
  <c r="BO91" i="6" s="1"/>
  <c r="N74" i="5"/>
  <c r="I74" i="5"/>
  <c r="BW50" i="6" s="1"/>
  <c r="F40" i="69"/>
  <c r="F41" i="69"/>
  <c r="G39" i="69"/>
  <c r="L7" i="56"/>
  <c r="AE7" i="56"/>
  <c r="N36" i="5"/>
  <c r="I36" i="5"/>
  <c r="T50" i="6" s="1"/>
  <c r="G44" i="69"/>
  <c r="G45" i="69" s="1"/>
  <c r="H69" i="69"/>
  <c r="H70" i="69"/>
  <c r="I31" i="5"/>
  <c r="O50" i="6" s="1"/>
  <c r="N31" i="5"/>
  <c r="N35" i="5"/>
  <c r="I35" i="5"/>
  <c r="S50" i="6" s="1"/>
  <c r="N62" i="5"/>
  <c r="I62" i="5"/>
  <c r="BK50" i="6" s="1"/>
  <c r="BK91" i="6" s="1"/>
  <c r="I70" i="5"/>
  <c r="BS50" i="6" s="1"/>
  <c r="BS91" i="6" s="1"/>
  <c r="N70" i="5"/>
  <c r="G51" i="70"/>
  <c r="B2562" i="53" s="1"/>
  <c r="AE55" i="56"/>
  <c r="L32" i="70"/>
  <c r="H35" i="70"/>
  <c r="G50" i="70"/>
  <c r="B2146" i="53" s="1"/>
  <c r="B1053" i="53"/>
  <c r="I52" i="5"/>
  <c r="AL50" i="6" s="1"/>
  <c r="AL91" i="6" s="1"/>
  <c r="L43" i="56"/>
  <c r="H17" i="70"/>
  <c r="D6" i="9"/>
  <c r="BW36" i="17"/>
  <c r="C47" i="4"/>
  <c r="D32" i="3"/>
  <c r="I36" i="3"/>
  <c r="C61" i="4"/>
  <c r="D20" i="3"/>
  <c r="C20" i="4"/>
  <c r="H60" i="1"/>
  <c r="C66" i="4"/>
  <c r="C46" i="4"/>
  <c r="H78" i="1" s="1"/>
  <c r="C32" i="3"/>
  <c r="K9" i="3"/>
  <c r="C9" i="4"/>
  <c r="C18" i="4"/>
  <c r="K13" i="3"/>
  <c r="H20" i="3"/>
  <c r="C24" i="4"/>
  <c r="B1381" i="53"/>
  <c r="B1411" i="53"/>
  <c r="V51" i="70"/>
  <c r="H39" i="69"/>
  <c r="H40" i="69" s="1"/>
  <c r="H41" i="69" s="1"/>
  <c r="G40" i="69"/>
  <c r="G41" i="69" s="1"/>
  <c r="C32" i="4"/>
  <c r="H64" i="1"/>
  <c r="G24" i="3"/>
  <c r="Q52" i="5"/>
  <c r="E9" i="3"/>
  <c r="C3" i="4"/>
  <c r="C40" i="4"/>
  <c r="I24" i="3"/>
  <c r="C11" i="4"/>
  <c r="C56" i="4"/>
  <c r="D36" i="3"/>
  <c r="J21" i="24"/>
  <c r="J22" i="24"/>
  <c r="I39" i="69"/>
  <c r="I40" i="69"/>
  <c r="I41" i="69" s="1"/>
  <c r="J18" i="24"/>
  <c r="J29" i="24"/>
  <c r="J28" i="24"/>
  <c r="H71" i="1"/>
  <c r="BW30" i="17"/>
  <c r="BW27" i="17"/>
  <c r="AD55" i="9"/>
  <c r="AE55" i="9"/>
  <c r="B260" i="53"/>
  <c r="B941" i="53"/>
  <c r="B2005" i="53"/>
  <c r="B1501" i="53"/>
  <c r="B1947" i="53"/>
  <c r="B1888" i="53"/>
  <c r="B2268" i="53"/>
  <c r="AA55" i="9"/>
  <c r="AG31" i="9"/>
  <c r="AC38" i="9"/>
  <c r="AH46" i="9"/>
  <c r="X46" i="9"/>
  <c r="Y46" i="9"/>
  <c r="B1277" i="53"/>
  <c r="V4" i="9"/>
  <c r="AD4" i="9"/>
  <c r="AC4" i="9"/>
  <c r="AK4" i="9"/>
  <c r="X4" i="9"/>
  <c r="X17" i="9"/>
  <c r="AJ17" i="9"/>
  <c r="Y17" i="9"/>
  <c r="V17" i="9"/>
  <c r="AB17" i="9"/>
  <c r="V24" i="11"/>
  <c r="AG24" i="9"/>
  <c r="Y24" i="9"/>
  <c r="B1962" i="53"/>
  <c r="B985" i="53"/>
  <c r="B2283" i="53"/>
  <c r="B2253" i="53"/>
  <c r="B289" i="53"/>
  <c r="AE71" i="9"/>
  <c r="X71" i="9"/>
  <c r="AK71" i="9"/>
  <c r="AA15" i="9"/>
  <c r="AG5" i="9"/>
  <c r="AH41" i="9"/>
  <c r="AE33" i="9"/>
  <c r="AF41" i="9"/>
  <c r="AB33" i="9"/>
  <c r="AC41" i="9"/>
  <c r="W41" i="9"/>
  <c r="AJ33" i="9"/>
  <c r="AB39" i="9"/>
  <c r="V23" i="9"/>
  <c r="X33" i="9"/>
  <c r="AD33" i="9"/>
  <c r="AG53" i="9"/>
  <c r="AD39" i="9"/>
  <c r="AJ39" i="9"/>
  <c r="AE70" i="9"/>
  <c r="V25" i="11"/>
  <c r="I25" i="31" s="1"/>
  <c r="K25" i="31" s="1"/>
  <c r="B622" i="53"/>
  <c r="B1140" i="53"/>
  <c r="B1082" i="53"/>
  <c r="B999" i="53"/>
  <c r="B2387" i="53"/>
  <c r="AB11" i="9"/>
  <c r="AF11" i="9"/>
  <c r="AE11" i="9"/>
  <c r="AK11" i="9"/>
  <c r="AG11" i="9"/>
  <c r="V11" i="11"/>
  <c r="AI11" i="11" s="1"/>
  <c r="AH11" i="9"/>
  <c r="AJ26" i="9"/>
  <c r="X26" i="9"/>
  <c r="AF26" i="9"/>
  <c r="AH26" i="9"/>
  <c r="AK26" i="9"/>
  <c r="AE26" i="9"/>
  <c r="AI26" i="9"/>
  <c r="Y26" i="9"/>
  <c r="V26" i="11"/>
  <c r="AB26" i="11" s="1"/>
  <c r="AD26" i="9"/>
  <c r="AG26" i="9"/>
  <c r="AA26" i="9"/>
  <c r="AI42" i="9"/>
  <c r="V42" i="9"/>
  <c r="AD54" i="9"/>
  <c r="AK54" i="9"/>
  <c r="AB54" i="9"/>
  <c r="AA54" i="9"/>
  <c r="AE54" i="9"/>
  <c r="AB63" i="9"/>
  <c r="AG63" i="9"/>
  <c r="AK63" i="9"/>
  <c r="AG67" i="9"/>
  <c r="B1829" i="53"/>
  <c r="AE32" i="9"/>
  <c r="AI32" i="9"/>
  <c r="AE48" i="9"/>
  <c r="W48" i="9"/>
  <c r="AJ48" i="9"/>
  <c r="B796" i="53"/>
  <c r="X30" i="9"/>
  <c r="V46" i="11"/>
  <c r="I47" i="31" s="1"/>
  <c r="AE46" i="9"/>
  <c r="V46" i="9"/>
  <c r="AK58" i="9"/>
  <c r="V33" i="11"/>
  <c r="AH33" i="11" s="1"/>
  <c r="AK33" i="9"/>
  <c r="V33" i="9"/>
  <c r="AC33" i="9"/>
  <c r="AH33" i="9"/>
  <c r="Y33" i="9"/>
  <c r="V56" i="11"/>
  <c r="X56" i="11" s="1"/>
  <c r="W56" i="9"/>
  <c r="V70" i="11"/>
  <c r="AD70" i="9"/>
  <c r="AJ70" i="9"/>
  <c r="AC70" i="9"/>
  <c r="AA70" i="9"/>
  <c r="Z70" i="9"/>
  <c r="AB70" i="9"/>
  <c r="AF70" i="9"/>
  <c r="Y70" i="9"/>
  <c r="W70" i="9"/>
  <c r="AH70" i="9"/>
  <c r="X70" i="9"/>
  <c r="AI70" i="9"/>
  <c r="V70" i="9"/>
  <c r="BW23" i="17"/>
  <c r="BW7" i="17"/>
  <c r="BW35" i="17"/>
  <c r="BW43" i="17"/>
  <c r="T20" i="24"/>
  <c r="W27" i="56"/>
  <c r="BT25" i="17"/>
  <c r="BU48" i="17"/>
  <c r="BU12" i="17"/>
  <c r="BT24" i="17"/>
  <c r="BU50" i="17"/>
  <c r="T36" i="24"/>
  <c r="BU30" i="17"/>
  <c r="BW13" i="17"/>
  <c r="BW24" i="17"/>
  <c r="BW8" i="17"/>
  <c r="BU6" i="17"/>
  <c r="BW20" i="17"/>
  <c r="F130" i="54"/>
  <c r="Z31" i="24"/>
  <c r="Z46" i="24"/>
  <c r="AI46" i="11"/>
  <c r="AD72" i="11"/>
  <c r="AK26" i="11"/>
  <c r="Y70" i="11"/>
  <c r="W44" i="56"/>
  <c r="B1100" i="53"/>
  <c r="B1008" i="53"/>
  <c r="W56" i="56"/>
  <c r="W24" i="70"/>
  <c r="B371" i="53" s="1"/>
  <c r="B1616" i="53"/>
  <c r="B647" i="53"/>
  <c r="W34" i="70"/>
  <c r="B1630" i="53" s="1"/>
  <c r="B1586" i="53"/>
  <c r="V16" i="70"/>
  <c r="W16" i="70"/>
  <c r="B1067" i="53" s="1"/>
  <c r="B2756" i="53"/>
  <c r="W49" i="70" l="1"/>
  <c r="B2456" i="53" s="1"/>
  <c r="AG48" i="56"/>
  <c r="Q46" i="5"/>
  <c r="R47" i="5"/>
  <c r="H14" i="69"/>
  <c r="G15" i="69"/>
  <c r="G16" i="69" s="1"/>
  <c r="H51" i="1"/>
  <c r="H48" i="1"/>
  <c r="H43" i="1"/>
  <c r="H46" i="1"/>
  <c r="H42" i="1"/>
  <c r="H50" i="1"/>
  <c r="H49" i="1"/>
  <c r="AE40" i="56"/>
  <c r="L40" i="56"/>
  <c r="F35" i="69"/>
  <c r="E36" i="69"/>
  <c r="F23" i="69"/>
  <c r="F24" i="69" s="1"/>
  <c r="G22" i="69"/>
  <c r="AE37" i="56"/>
  <c r="L37" i="56"/>
  <c r="I27" i="5"/>
  <c r="K50" i="6" s="1"/>
  <c r="D104" i="71"/>
  <c r="C25" i="4"/>
  <c r="I20" i="3"/>
  <c r="N15" i="5"/>
  <c r="I15" i="5"/>
  <c r="AF50" i="6" s="1"/>
  <c r="AE70" i="56"/>
  <c r="L70" i="56"/>
  <c r="E18" i="5"/>
  <c r="F18" i="5" s="1"/>
  <c r="H18" i="5" s="1"/>
  <c r="E11" i="5"/>
  <c r="F11" i="5" s="1"/>
  <c r="H11" i="5" s="1"/>
  <c r="I11" i="5" s="1"/>
  <c r="AB50" i="6" s="1"/>
  <c r="E8" i="5"/>
  <c r="F8" i="5" s="1"/>
  <c r="H8" i="5" s="1"/>
  <c r="E14" i="5"/>
  <c r="F14" i="5" s="1"/>
  <c r="H14" i="5" s="1"/>
  <c r="E7" i="5"/>
  <c r="F7" i="5" s="1"/>
  <c r="H7" i="5" s="1"/>
  <c r="E17" i="5"/>
  <c r="F17" i="5" s="1"/>
  <c r="H17" i="5" s="1"/>
  <c r="E12" i="5"/>
  <c r="F12" i="5" s="1"/>
  <c r="H12" i="5" s="1"/>
  <c r="I12" i="5" s="1"/>
  <c r="AC50" i="6" s="1"/>
  <c r="E13" i="5"/>
  <c r="F13" i="5" s="1"/>
  <c r="H13" i="5" s="1"/>
  <c r="E9" i="5"/>
  <c r="F9" i="5" s="1"/>
  <c r="H9" i="5" s="1"/>
  <c r="E19" i="5"/>
  <c r="F19" i="5" s="1"/>
  <c r="H19" i="5" s="1"/>
  <c r="I19" i="5" s="1"/>
  <c r="AJ50" i="6" s="1"/>
  <c r="E6" i="5"/>
  <c r="F6" i="5" s="1"/>
  <c r="H6" i="5" s="1"/>
  <c r="E16" i="5"/>
  <c r="F16" i="5" s="1"/>
  <c r="H16" i="5" s="1"/>
  <c r="B2092" i="53"/>
  <c r="J16" i="24"/>
  <c r="F9" i="3"/>
  <c r="C4" i="4"/>
  <c r="C36" i="3"/>
  <c r="C55" i="4"/>
  <c r="H88" i="1"/>
  <c r="B2238" i="53"/>
  <c r="B2034" i="53"/>
  <c r="H28" i="1"/>
  <c r="H9" i="1"/>
  <c r="H9" i="3"/>
  <c r="C6" i="4"/>
  <c r="I13" i="3"/>
  <c r="C16" i="4"/>
  <c r="E57" i="69"/>
  <c r="F56" i="69"/>
  <c r="AE71" i="56"/>
  <c r="L71" i="56"/>
  <c r="L72" i="56"/>
  <c r="AE72" i="56"/>
  <c r="H31" i="69"/>
  <c r="G32" i="69"/>
  <c r="G33" i="69" s="1"/>
  <c r="K97" i="31"/>
  <c r="N58" i="5"/>
  <c r="V31" i="56"/>
  <c r="E5" i="5"/>
  <c r="F5" i="5" s="1"/>
  <c r="H5" i="5" s="1"/>
  <c r="N21" i="5"/>
  <c r="I21" i="5"/>
  <c r="H44" i="1"/>
  <c r="H47" i="69"/>
  <c r="H52" i="1"/>
  <c r="BF91" i="6"/>
  <c r="BF94" i="6"/>
  <c r="BF95" i="6"/>
  <c r="BF96" i="6"/>
  <c r="BF92" i="6"/>
  <c r="BF93" i="6"/>
  <c r="E10" i="5"/>
  <c r="F10" i="5" s="1"/>
  <c r="H10" i="5" s="1"/>
  <c r="L73" i="56"/>
  <c r="AE73" i="56"/>
  <c r="AE74" i="56"/>
  <c r="L74" i="56"/>
  <c r="C41" i="69"/>
  <c r="K20" i="56"/>
  <c r="K25" i="56"/>
  <c r="K18" i="56"/>
  <c r="K23" i="56"/>
  <c r="K21" i="56"/>
  <c r="K19" i="56"/>
  <c r="E60" i="69"/>
  <c r="D61" i="69"/>
  <c r="L115" i="31"/>
  <c r="K115" i="31"/>
  <c r="J115" i="31"/>
  <c r="K140" i="31"/>
  <c r="L140" i="31"/>
  <c r="J140" i="31"/>
  <c r="F4" i="31"/>
  <c r="F3" i="31"/>
  <c r="D100" i="71"/>
  <c r="D110" i="71"/>
  <c r="D103" i="71"/>
  <c r="D101" i="71"/>
  <c r="D111" i="71"/>
  <c r="D108" i="71"/>
  <c r="D107" i="71"/>
  <c r="J86" i="31"/>
  <c r="N25" i="5"/>
  <c r="I25" i="5"/>
  <c r="I50" i="6" s="1"/>
  <c r="J20" i="24"/>
  <c r="S20" i="24" s="1"/>
  <c r="H72" i="1"/>
  <c r="H73" i="1"/>
  <c r="H69" i="1"/>
  <c r="H75" i="1"/>
  <c r="J24" i="24"/>
  <c r="S24" i="24" s="1"/>
  <c r="H74" i="1"/>
  <c r="H36" i="1"/>
  <c r="J25" i="24"/>
  <c r="H77" i="1"/>
  <c r="H31" i="1"/>
  <c r="H33" i="1"/>
  <c r="H34" i="1"/>
  <c r="H76" i="1"/>
  <c r="J23" i="24"/>
  <c r="H53" i="1"/>
  <c r="F40" i="3"/>
  <c r="H30" i="1"/>
  <c r="H35" i="1"/>
  <c r="J6" i="24"/>
  <c r="H41" i="1"/>
  <c r="H17" i="1"/>
  <c r="AJ56" i="52"/>
  <c r="Y25" i="11"/>
  <c r="AJ25" i="11"/>
  <c r="H70" i="1"/>
  <c r="AB25" i="11"/>
  <c r="J27" i="24"/>
  <c r="C30" i="4"/>
  <c r="E24" i="3"/>
  <c r="H15" i="1"/>
  <c r="H45" i="1"/>
  <c r="I9" i="3"/>
  <c r="H25" i="1"/>
  <c r="H24" i="1"/>
  <c r="H12" i="1"/>
  <c r="H14" i="1"/>
  <c r="H18" i="1"/>
  <c r="D24" i="3"/>
  <c r="C29" i="4"/>
  <c r="J7" i="24" s="1"/>
  <c r="C44" i="4"/>
  <c r="J28" i="3"/>
  <c r="C38" i="4"/>
  <c r="D28" i="3"/>
  <c r="H83" i="1"/>
  <c r="J41" i="24"/>
  <c r="S41" i="24" s="1"/>
  <c r="H98" i="1"/>
  <c r="J40" i="24"/>
  <c r="S40" i="24" s="1"/>
  <c r="H85" i="1"/>
  <c r="J38" i="24"/>
  <c r="J47" i="24"/>
  <c r="J44" i="24"/>
  <c r="H90" i="1"/>
  <c r="J39" i="24"/>
  <c r="J30" i="24"/>
  <c r="H79" i="1"/>
  <c r="H99" i="1"/>
  <c r="J49" i="24"/>
  <c r="J45" i="24"/>
  <c r="H92" i="1"/>
  <c r="J43" i="24"/>
  <c r="S43" i="24" s="1"/>
  <c r="H81" i="1"/>
  <c r="J42" i="24"/>
  <c r="J35" i="24"/>
  <c r="H84" i="1"/>
  <c r="H95" i="1"/>
  <c r="H86" i="1"/>
  <c r="H97" i="1"/>
  <c r="H87" i="1"/>
  <c r="C36" i="4"/>
  <c r="K24" i="3"/>
  <c r="AE56" i="56"/>
  <c r="AE31" i="56"/>
  <c r="AD25" i="11"/>
  <c r="H32" i="1"/>
  <c r="H76" i="69"/>
  <c r="H36" i="3"/>
  <c r="C60" i="4"/>
  <c r="H72" i="69"/>
  <c r="G73" i="69"/>
  <c r="G74" i="69" s="1"/>
  <c r="J8" i="24"/>
  <c r="S8" i="24" s="1"/>
  <c r="H47" i="1"/>
  <c r="J37" i="24"/>
  <c r="H89" i="1"/>
  <c r="C15" i="4"/>
  <c r="H13" i="3"/>
  <c r="BM91" i="6"/>
  <c r="BM1" i="6"/>
  <c r="H19" i="69"/>
  <c r="H20" i="69" s="1"/>
  <c r="L46" i="56"/>
  <c r="F48" i="69"/>
  <c r="F49" i="69" s="1"/>
  <c r="L6" i="56"/>
  <c r="AE6" i="56"/>
  <c r="AD4" i="56" s="1"/>
  <c r="C35" i="52"/>
  <c r="D35" i="52"/>
  <c r="D50" i="52"/>
  <c r="C50" i="52"/>
  <c r="K84" i="31"/>
  <c r="J84" i="31"/>
  <c r="L84" i="31"/>
  <c r="K86" i="31"/>
  <c r="J97" i="31"/>
  <c r="G65" i="69"/>
  <c r="G66" i="69" s="1"/>
  <c r="D95" i="71"/>
  <c r="L68" i="56"/>
  <c r="L75" i="56"/>
  <c r="L63" i="56"/>
  <c r="BT91" i="6"/>
  <c r="BT93" i="6"/>
  <c r="C14" i="52"/>
  <c r="I45" i="5"/>
  <c r="N45" i="5"/>
  <c r="J161" i="31"/>
  <c r="L161" i="31"/>
  <c r="BW96" i="6"/>
  <c r="BW91" i="6"/>
  <c r="C71" i="4"/>
  <c r="J20" i="3"/>
  <c r="I29" i="5"/>
  <c r="M50" i="6" s="1"/>
  <c r="D90" i="71"/>
  <c r="AE8" i="56"/>
  <c r="P4" i="35"/>
  <c r="H4" i="35"/>
  <c r="D4" i="35"/>
  <c r="D17" i="35" s="1"/>
  <c r="N4" i="35"/>
  <c r="N17" i="35" s="1"/>
  <c r="F15" i="35"/>
  <c r="H15" i="35"/>
  <c r="H17" i="35" s="1"/>
  <c r="T15" i="35"/>
  <c r="T17" i="35" s="1"/>
  <c r="L15" i="35"/>
  <c r="L17" i="35" s="1"/>
  <c r="C9" i="52"/>
  <c r="D9" i="52"/>
  <c r="I67" i="5"/>
  <c r="BP50" i="6" s="1"/>
  <c r="BP91" i="6" s="1"/>
  <c r="N67" i="5"/>
  <c r="K4" i="9"/>
  <c r="K5" i="9"/>
  <c r="K6" i="9"/>
  <c r="K3" i="9"/>
  <c r="S7" i="9"/>
  <c r="S4" i="9"/>
  <c r="S5" i="9"/>
  <c r="S8" i="9"/>
  <c r="S6" i="9"/>
  <c r="K9" i="9"/>
  <c r="K10" i="9"/>
  <c r="K11" i="9"/>
  <c r="S11" i="9"/>
  <c r="S12" i="9"/>
  <c r="S13" i="9"/>
  <c r="S14" i="9"/>
  <c r="L15" i="9"/>
  <c r="L16" i="9"/>
  <c r="L17" i="9"/>
  <c r="D21" i="9"/>
  <c r="D19" i="9"/>
  <c r="D22" i="9"/>
  <c r="D23" i="9"/>
  <c r="D20" i="9"/>
  <c r="D24" i="9"/>
  <c r="L20" i="9"/>
  <c r="L21" i="9"/>
  <c r="D30" i="9"/>
  <c r="D25" i="9"/>
  <c r="D26" i="9"/>
  <c r="L150" i="31"/>
  <c r="K150" i="31"/>
  <c r="D15" i="52"/>
  <c r="C15" i="52"/>
  <c r="AH11" i="11"/>
  <c r="W11" i="11"/>
  <c r="N43" i="5"/>
  <c r="I43" i="5"/>
  <c r="J145" i="31"/>
  <c r="D49" i="52"/>
  <c r="C49" i="52"/>
  <c r="AH41" i="56"/>
  <c r="AH80" i="56" s="1"/>
  <c r="K102" i="31"/>
  <c r="J102" i="31"/>
  <c r="J129" i="31"/>
  <c r="L129" i="31"/>
  <c r="G39" i="9"/>
  <c r="G40" i="9"/>
  <c r="G41" i="9"/>
  <c r="G42" i="9"/>
  <c r="G46" i="24"/>
  <c r="G24" i="24"/>
  <c r="G32" i="24"/>
  <c r="G39" i="24"/>
  <c r="G35" i="24"/>
  <c r="G26" i="24"/>
  <c r="G40" i="24"/>
  <c r="L7" i="9"/>
  <c r="L6" i="9"/>
  <c r="D11" i="9"/>
  <c r="D14" i="9"/>
  <c r="L9" i="9"/>
  <c r="L11" i="9"/>
  <c r="L12" i="9"/>
  <c r="L13" i="9"/>
  <c r="M18" i="9"/>
  <c r="M15" i="9"/>
  <c r="E23" i="9"/>
  <c r="E19" i="9"/>
  <c r="E24" i="9"/>
  <c r="M19" i="9"/>
  <c r="M20" i="9"/>
  <c r="M21" i="9"/>
  <c r="M22" i="9"/>
  <c r="E27" i="9"/>
  <c r="E29" i="9"/>
  <c r="S6" i="24"/>
  <c r="S21" i="24"/>
  <c r="S29" i="24"/>
  <c r="S34" i="24"/>
  <c r="S38" i="24"/>
  <c r="S42" i="24"/>
  <c r="S46" i="24"/>
  <c r="G23" i="70"/>
  <c r="G27" i="70"/>
  <c r="V7" i="56"/>
  <c r="R6" i="35"/>
  <c r="R17" i="35" s="1"/>
  <c r="P6" i="35"/>
  <c r="N6" i="35"/>
  <c r="K166" i="31"/>
  <c r="J166" i="31"/>
  <c r="D83" i="71"/>
  <c r="H12" i="35"/>
  <c r="G34" i="24"/>
  <c r="P12" i="35"/>
  <c r="P17" i="35" s="1"/>
  <c r="G45" i="24"/>
  <c r="G16" i="24"/>
  <c r="M23" i="9"/>
  <c r="E22" i="9"/>
  <c r="L5" i="9"/>
  <c r="AA33" i="24"/>
  <c r="AA52" i="24" s="1"/>
  <c r="G8" i="70"/>
  <c r="G6" i="24"/>
  <c r="G47" i="24"/>
  <c r="E21" i="9"/>
  <c r="L4" i="9"/>
  <c r="S18" i="24"/>
  <c r="S22" i="24"/>
  <c r="S26" i="24"/>
  <c r="S30" i="24"/>
  <c r="S35" i="24"/>
  <c r="S39" i="24"/>
  <c r="S47" i="24"/>
  <c r="G25" i="70"/>
  <c r="B386" i="53" s="1"/>
  <c r="F6" i="35"/>
  <c r="F17" i="35" s="1"/>
  <c r="K148" i="31"/>
  <c r="J148" i="31"/>
  <c r="G29" i="70"/>
  <c r="B1288" i="53" s="1"/>
  <c r="G26" i="70"/>
  <c r="B415" i="53" s="1"/>
  <c r="AJ15" i="25"/>
  <c r="AM15" i="25" s="1"/>
  <c r="Z43" i="24"/>
  <c r="AG51" i="56"/>
  <c r="S7" i="24"/>
  <c r="S23" i="24"/>
  <c r="S27" i="24"/>
  <c r="S31" i="24"/>
  <c r="S36" i="24"/>
  <c r="S44" i="24"/>
  <c r="S48" i="24"/>
  <c r="V6" i="56"/>
  <c r="V10" i="56"/>
  <c r="V8" i="56"/>
  <c r="AC48" i="70"/>
  <c r="B1014" i="53"/>
  <c r="AB45" i="70"/>
  <c r="B2610" i="53" s="1"/>
  <c r="K30" i="56"/>
  <c r="S28" i="24"/>
  <c r="S32" i="24"/>
  <c r="S37" i="24"/>
  <c r="S45" i="24"/>
  <c r="S49" i="24"/>
  <c r="G21" i="70"/>
  <c r="W21" i="70" s="1"/>
  <c r="B284" i="53" s="1"/>
  <c r="L18" i="70"/>
  <c r="L8" i="70"/>
  <c r="L47" i="70"/>
  <c r="L46" i="70"/>
  <c r="L52" i="70"/>
  <c r="L53" i="70"/>
  <c r="B2925" i="53" s="1"/>
  <c r="G36" i="70"/>
  <c r="B1765" i="53" s="1"/>
  <c r="V15" i="70"/>
  <c r="S16" i="24"/>
  <c r="S25" i="24"/>
  <c r="G10" i="70"/>
  <c r="V10" i="70" s="1"/>
  <c r="G22" i="70"/>
  <c r="G38" i="70"/>
  <c r="B1855" i="53" s="1"/>
  <c r="BW22" i="17"/>
  <c r="AH23" i="70" s="1"/>
  <c r="B349" i="53" s="1"/>
  <c r="AC39" i="70"/>
  <c r="I68" i="1"/>
  <c r="BW6" i="17"/>
  <c r="AH7" i="70" s="1"/>
  <c r="BW14" i="17"/>
  <c r="AC19" i="70"/>
  <c r="G41" i="70"/>
  <c r="W41" i="70" s="1"/>
  <c r="B1928" i="53" s="1"/>
  <c r="AC6" i="70"/>
  <c r="AC54" i="70" s="1"/>
  <c r="O8" i="70"/>
  <c r="M8" i="70"/>
  <c r="BW25" i="17"/>
  <c r="BT30" i="17"/>
  <c r="G17" i="70"/>
  <c r="W40" i="70"/>
  <c r="B835" i="53" s="1"/>
  <c r="G11" i="70"/>
  <c r="V11" i="70" s="1"/>
  <c r="G14" i="70"/>
  <c r="B212" i="53" s="1"/>
  <c r="G30" i="70"/>
  <c r="B531" i="53" s="1"/>
  <c r="G18" i="70"/>
  <c r="B676" i="53" s="1"/>
  <c r="AJ25" i="25"/>
  <c r="AM25" i="25" s="1"/>
  <c r="G13" i="70"/>
  <c r="B183" i="53" s="1"/>
  <c r="BT13" i="17"/>
  <c r="B995" i="53"/>
  <c r="B2117" i="53"/>
  <c r="V49" i="70"/>
  <c r="B2412" i="53"/>
  <c r="B908" i="53"/>
  <c r="W17" i="70"/>
  <c r="B1914" i="53"/>
  <c r="B850" i="53"/>
  <c r="W27" i="70"/>
  <c r="B458" i="53" s="1"/>
  <c r="B444" i="53"/>
  <c r="V27" i="70"/>
  <c r="V24" i="70"/>
  <c r="B821" i="53"/>
  <c r="B1943" i="53"/>
  <c r="B7" i="53"/>
  <c r="B2234" i="53"/>
  <c r="W51" i="70"/>
  <c r="B2576" i="53" s="1"/>
  <c r="AJ43" i="25"/>
  <c r="AM43" i="25" s="1"/>
  <c r="AK16" i="25"/>
  <c r="AN16" i="25" s="1"/>
  <c r="AK15" i="25"/>
  <c r="AN15" i="25" s="1"/>
  <c r="AJ42" i="25"/>
  <c r="AM42" i="25" s="1"/>
  <c r="AJ36" i="25"/>
  <c r="AM36" i="25" s="1"/>
  <c r="AJ12" i="25"/>
  <c r="AM12" i="25" s="1"/>
  <c r="AJ26" i="25"/>
  <c r="AM26" i="25" s="1"/>
  <c r="AK18" i="25"/>
  <c r="AN18" i="25" s="1"/>
  <c r="AK25" i="25"/>
  <c r="AN25" i="25" s="1"/>
  <c r="AP25" i="25" s="1"/>
  <c r="T27" i="24" s="1"/>
  <c r="BT9" i="17"/>
  <c r="O42" i="24" s="1"/>
  <c r="BT11" i="17"/>
  <c r="BW39" i="17"/>
  <c r="AH40" i="70" s="1"/>
  <c r="BT32" i="17"/>
  <c r="BS32" i="17" s="1"/>
  <c r="BW29" i="17"/>
  <c r="BW34" i="17"/>
  <c r="AH35" i="70" s="1"/>
  <c r="B1726" i="53" s="1"/>
  <c r="BU28" i="17"/>
  <c r="BT6" i="17"/>
  <c r="O26" i="24" s="1"/>
  <c r="BU21" i="17"/>
  <c r="BT29" i="17"/>
  <c r="Q30" i="70" s="1"/>
  <c r="B540" i="53" s="1"/>
  <c r="BT22" i="17"/>
  <c r="BS22" i="17" s="1"/>
  <c r="BX22" i="17" s="1"/>
  <c r="BY22" i="17" s="1"/>
  <c r="BU43" i="17"/>
  <c r="BU34" i="17"/>
  <c r="BT17" i="17"/>
  <c r="BS17" i="17" s="1"/>
  <c r="P18" i="70" s="1"/>
  <c r="BU29" i="17"/>
  <c r="BU41" i="17"/>
  <c r="BU13" i="17"/>
  <c r="BU27" i="17"/>
  <c r="BT34" i="17"/>
  <c r="BS34" i="17" s="1"/>
  <c r="P35" i="70" s="1"/>
  <c r="B713" i="53" s="1"/>
  <c r="D713" i="53" s="1"/>
  <c r="BT36" i="17"/>
  <c r="Q37" i="70" s="1"/>
  <c r="B772" i="53" s="1"/>
  <c r="BW50" i="17"/>
  <c r="AH51" i="70" s="1"/>
  <c r="B2583" i="53" s="1"/>
  <c r="BT35" i="17"/>
  <c r="BS35" i="17" s="1"/>
  <c r="P36" i="70" s="1"/>
  <c r="B742" i="53" s="1"/>
  <c r="BU10" i="17"/>
  <c r="BW40" i="17"/>
  <c r="AH41" i="70" s="1"/>
  <c r="B1935" i="53" s="1"/>
  <c r="BW49" i="17"/>
  <c r="AH50" i="70" s="1"/>
  <c r="B2493" i="53" s="1"/>
  <c r="BU19" i="17"/>
  <c r="BU49" i="17"/>
  <c r="BU22" i="17"/>
  <c r="BW42" i="17"/>
  <c r="BT33" i="17"/>
  <c r="Q34" i="70" s="1"/>
  <c r="B1595" i="53" s="1"/>
  <c r="BU37" i="17"/>
  <c r="AK26" i="25"/>
  <c r="AN26" i="25" s="1"/>
  <c r="AJ11" i="25"/>
  <c r="AM11" i="25" s="1"/>
  <c r="AK12" i="25"/>
  <c r="AN12" i="25" s="1"/>
  <c r="AJ18" i="25"/>
  <c r="AM18" i="25" s="1"/>
  <c r="AJ9" i="25"/>
  <c r="AM9" i="25" s="1"/>
  <c r="AP9" i="25" s="1"/>
  <c r="S33" i="56"/>
  <c r="AK43" i="25"/>
  <c r="AN43" i="25" s="1"/>
  <c r="AP43" i="25" s="1"/>
  <c r="X43" i="70" s="1"/>
  <c r="Z19" i="9"/>
  <c r="AI19" i="9"/>
  <c r="Y34" i="9"/>
  <c r="AG34" i="9"/>
  <c r="AE34" i="9"/>
  <c r="AJ34" i="9"/>
  <c r="AF34" i="9"/>
  <c r="V34" i="9"/>
  <c r="AD34" i="9"/>
  <c r="AB34" i="9"/>
  <c r="AK34" i="9"/>
  <c r="AC34" i="9"/>
  <c r="AI34" i="9"/>
  <c r="AH34" i="9"/>
  <c r="AA34" i="9"/>
  <c r="AH50" i="9"/>
  <c r="AI50" i="9"/>
  <c r="AC5" i="9"/>
  <c r="AE5" i="9"/>
  <c r="AK5" i="9"/>
  <c r="AD5" i="9"/>
  <c r="Y5" i="9"/>
  <c r="AH5" i="9"/>
  <c r="W5" i="9"/>
  <c r="AJ5" i="9"/>
  <c r="X5" i="9"/>
  <c r="AE26" i="11"/>
  <c r="AG26" i="11"/>
  <c r="Y19" i="9"/>
  <c r="AF24" i="11"/>
  <c r="W24" i="11"/>
  <c r="AA24" i="11"/>
  <c r="AI12" i="9"/>
  <c r="Z12" i="9"/>
  <c r="AG12" i="9"/>
  <c r="X12" i="9"/>
  <c r="AK12" i="9"/>
  <c r="AB12" i="9"/>
  <c r="V12" i="11"/>
  <c r="AH12" i="9"/>
  <c r="AI27" i="9"/>
  <c r="Z27" i="9"/>
  <c r="AG27" i="9"/>
  <c r="AC27" i="9"/>
  <c r="AE27" i="9"/>
  <c r="X27" i="9"/>
  <c r="AK42" i="9"/>
  <c r="AH42" i="9"/>
  <c r="AF42" i="9"/>
  <c r="AG42" i="9"/>
  <c r="Y42" i="9"/>
  <c r="AJ42" i="9"/>
  <c r="Z42" i="9"/>
  <c r="AE42" i="9"/>
  <c r="V42" i="11"/>
  <c r="AA42" i="9"/>
  <c r="AD42" i="9"/>
  <c r="W42" i="9"/>
  <c r="W58" i="9"/>
  <c r="Z58" i="9"/>
  <c r="AD58" i="9"/>
  <c r="AI58" i="9"/>
  <c r="AJ58" i="9"/>
  <c r="V58" i="9"/>
  <c r="V58" i="11"/>
  <c r="I59" i="31" s="1"/>
  <c r="AH58" i="9"/>
  <c r="AG58" i="9"/>
  <c r="AC58" i="9"/>
  <c r="AF63" i="9"/>
  <c r="X63" i="9"/>
  <c r="AJ63" i="9"/>
  <c r="Y63" i="9"/>
  <c r="V63" i="11"/>
  <c r="AF63" i="11" s="1"/>
  <c r="AC63" i="9"/>
  <c r="W63" i="9"/>
  <c r="Z63" i="9"/>
  <c r="AA63" i="9"/>
  <c r="AE63" i="9"/>
  <c r="O23" i="70"/>
  <c r="B335" i="53" s="1"/>
  <c r="D335" i="53" s="1"/>
  <c r="J25" i="31"/>
  <c r="AH27" i="9"/>
  <c r="X42" i="9"/>
  <c r="Z34" i="9"/>
  <c r="W34" i="9"/>
  <c r="AA12" i="9"/>
  <c r="AB44" i="9"/>
  <c r="AC30" i="9"/>
  <c r="Z30" i="9"/>
  <c r="AK9" i="9"/>
  <c r="X31" i="9"/>
  <c r="AD38" i="9"/>
  <c r="AJ65" i="9"/>
  <c r="AK22" i="9"/>
  <c r="V71" i="11"/>
  <c r="I73" i="31" s="1"/>
  <c r="Z46" i="11"/>
  <c r="Y46" i="11"/>
  <c r="Z25" i="11"/>
  <c r="X45" i="9"/>
  <c r="AA37" i="9"/>
  <c r="W25" i="11"/>
  <c r="AA46" i="9"/>
  <c r="Y9" i="9"/>
  <c r="AF54" i="9"/>
  <c r="V31" i="11"/>
  <c r="AA31" i="11" s="1"/>
  <c r="V31" i="9"/>
  <c r="AJ38" i="9"/>
  <c r="Z31" i="9"/>
  <c r="AH37" i="9"/>
  <c r="AC22" i="9"/>
  <c r="AK25" i="11"/>
  <c r="AE23" i="9"/>
  <c r="AH23" i="9"/>
  <c r="I11" i="31"/>
  <c r="J11" i="31" s="1"/>
  <c r="Y15" i="9"/>
  <c r="AA14" i="9"/>
  <c r="Z65" i="9"/>
  <c r="AK8" i="9"/>
  <c r="AC9" i="9"/>
  <c r="AF11" i="11"/>
  <c r="V56" i="9"/>
  <c r="AC11" i="9"/>
  <c r="W22" i="11"/>
  <c r="AI24" i="9"/>
  <c r="AC31" i="9"/>
  <c r="AD36" i="9"/>
  <c r="AE31" i="9"/>
  <c r="AA8" i="9"/>
  <c r="AK31" i="9"/>
  <c r="AB62" i="9"/>
  <c r="V9" i="11"/>
  <c r="AI48" i="9"/>
  <c r="AB71" i="9"/>
  <c r="AA3" i="9"/>
  <c r="AF70" i="11"/>
  <c r="AA70" i="11"/>
  <c r="W70" i="11"/>
  <c r="AC70" i="11"/>
  <c r="AG70" i="11"/>
  <c r="X70" i="11"/>
  <c r="AD70" i="11"/>
  <c r="AK70" i="11"/>
  <c r="AI70" i="11"/>
  <c r="I72" i="31"/>
  <c r="L72" i="31" s="1"/>
  <c r="AB70" i="11"/>
  <c r="AE70" i="11"/>
  <c r="AB51" i="9"/>
  <c r="W51" i="9"/>
  <c r="N35" i="24"/>
  <c r="AJ70" i="11"/>
  <c r="AI14" i="9"/>
  <c r="W14" i="9"/>
  <c r="AK14" i="9"/>
  <c r="V14" i="11"/>
  <c r="AD14" i="11" s="1"/>
  <c r="AF14" i="9"/>
  <c r="AD14" i="9"/>
  <c r="AH14" i="9"/>
  <c r="AC14" i="9"/>
  <c r="Z14" i="9"/>
  <c r="AJ29" i="9"/>
  <c r="AA29" i="9"/>
  <c r="AG29" i="9"/>
  <c r="V29" i="11"/>
  <c r="W29" i="9"/>
  <c r="V29" i="9"/>
  <c r="AK29" i="9"/>
  <c r="AI29" i="9"/>
  <c r="AF29" i="9"/>
  <c r="AC29" i="9"/>
  <c r="AH29" i="9"/>
  <c r="AD29" i="9"/>
  <c r="AE29" i="9"/>
  <c r="AB29" i="9"/>
  <c r="V44" i="11"/>
  <c r="AB44" i="11" s="1"/>
  <c r="AJ44" i="9"/>
  <c r="AD44" i="9"/>
  <c r="AH44" i="9"/>
  <c r="X44" i="9"/>
  <c r="Y44" i="9"/>
  <c r="AC44" i="9"/>
  <c r="V44" i="9"/>
  <c r="AE44" i="9"/>
  <c r="AG44" i="9"/>
  <c r="AF44" i="9"/>
  <c r="AE67" i="9"/>
  <c r="Y67" i="9"/>
  <c r="W67" i="9"/>
  <c r="AD67" i="9"/>
  <c r="AB67" i="9"/>
  <c r="AC67" i="9"/>
  <c r="AI67" i="9"/>
  <c r="V67" i="11"/>
  <c r="W67" i="11" s="1"/>
  <c r="Z67" i="9"/>
  <c r="AF67" i="9"/>
  <c r="AA67" i="9"/>
  <c r="AJ67" i="9"/>
  <c r="AK67" i="9"/>
  <c r="K39" i="24"/>
  <c r="R35" i="56"/>
  <c r="Q22" i="56"/>
  <c r="AG21" i="9"/>
  <c r="AK36" i="9"/>
  <c r="W52" i="9"/>
  <c r="X52" i="9"/>
  <c r="Y21" i="9"/>
  <c r="AB14" i="9"/>
  <c r="X67" i="9"/>
  <c r="AD52" i="9"/>
  <c r="Y29" i="9"/>
  <c r="X29" i="9"/>
  <c r="W44" i="9"/>
  <c r="M22" i="56"/>
  <c r="N22" i="56" s="1"/>
  <c r="W7" i="9"/>
  <c r="AC7" i="9"/>
  <c r="AH7" i="9"/>
  <c r="AE7" i="9"/>
  <c r="W21" i="9"/>
  <c r="AE21" i="9"/>
  <c r="AD21" i="9"/>
  <c r="V21" i="11"/>
  <c r="AD21" i="11" s="1"/>
  <c r="AC21" i="9"/>
  <c r="V21" i="9"/>
  <c r="AJ21" i="9"/>
  <c r="AK21" i="9"/>
  <c r="AF21" i="9"/>
  <c r="Z21" i="9"/>
  <c r="AI21" i="9"/>
  <c r="AB21" i="9"/>
  <c r="V36" i="11"/>
  <c r="X36" i="11" s="1"/>
  <c r="V36" i="9"/>
  <c r="Y36" i="9"/>
  <c r="AC36" i="9"/>
  <c r="X36" i="9"/>
  <c r="AH36" i="9"/>
  <c r="Z52" i="9"/>
  <c r="AK52" i="9"/>
  <c r="AH52" i="9"/>
  <c r="AE52" i="9"/>
  <c r="AF52" i="9"/>
  <c r="V52" i="9"/>
  <c r="V52" i="11"/>
  <c r="AI52" i="9"/>
  <c r="Y52" i="9"/>
  <c r="Z70" i="11"/>
  <c r="M43" i="24"/>
  <c r="AG52" i="9"/>
  <c r="AJ14" i="9"/>
  <c r="AI44" i="9"/>
  <c r="AH67" i="9"/>
  <c r="AC52" i="9"/>
  <c r="Z44" i="9"/>
  <c r="AH70" i="11"/>
  <c r="S23" i="70"/>
  <c r="B339" i="53" s="1"/>
  <c r="D339" i="53" s="1"/>
  <c r="V67" i="9"/>
  <c r="AA21" i="9"/>
  <c r="AK44" i="9"/>
  <c r="W36" i="9"/>
  <c r="AJ4" i="11"/>
  <c r="X4" i="11"/>
  <c r="AE30" i="9"/>
  <c r="AI30" i="9"/>
  <c r="Y30" i="9"/>
  <c r="AB30" i="9"/>
  <c r="V45" i="11"/>
  <c r="AG45" i="9"/>
  <c r="AC45" i="9"/>
  <c r="AJ45" i="9"/>
  <c r="AI45" i="9"/>
  <c r="Z45" i="9"/>
  <c r="V45" i="9"/>
  <c r="AH45" i="9"/>
  <c r="Q62" i="56"/>
  <c r="O12" i="70"/>
  <c r="B161" i="53" s="1"/>
  <c r="D161" i="53" s="1"/>
  <c r="N25" i="24"/>
  <c r="B261" i="53"/>
  <c r="M75" i="56"/>
  <c r="N75" i="56" s="1"/>
  <c r="U75" i="56" s="1"/>
  <c r="O58" i="56"/>
  <c r="P68" i="56"/>
  <c r="AF30" i="9"/>
  <c r="V30" i="11"/>
  <c r="X30" i="11" s="1"/>
  <c r="Z24" i="11"/>
  <c r="AC24" i="11"/>
  <c r="AK24" i="11"/>
  <c r="X12" i="11"/>
  <c r="AF15" i="9"/>
  <c r="AJ15" i="9"/>
  <c r="AH15" i="9"/>
  <c r="W15" i="9"/>
  <c r="AD15" i="9"/>
  <c r="AE38" i="9"/>
  <c r="AI38" i="9"/>
  <c r="X38" i="9"/>
  <c r="W38" i="9"/>
  <c r="V38" i="11"/>
  <c r="AB46" i="9"/>
  <c r="AI46" i="9"/>
  <c r="Z46" i="9"/>
  <c r="AF46" i="9"/>
  <c r="AK46" i="9"/>
  <c r="V54" i="11"/>
  <c r="AA54" i="11" s="1"/>
  <c r="Z54" i="9"/>
  <c r="X54" i="9"/>
  <c r="AH54" i="9"/>
  <c r="V65" i="9"/>
  <c r="Y65" i="9"/>
  <c r="AI65" i="9"/>
  <c r="AA65" i="9"/>
  <c r="AK65" i="9"/>
  <c r="Y33" i="11"/>
  <c r="O35" i="70"/>
  <c r="B1712" i="53" s="1"/>
  <c r="AK30" i="9"/>
  <c r="AA25" i="11"/>
  <c r="X25" i="11"/>
  <c r="AH25" i="11"/>
  <c r="AI25" i="11"/>
  <c r="AG4" i="11"/>
  <c r="AG38" i="9"/>
  <c r="AI15" i="9"/>
  <c r="Z15" i="9"/>
  <c r="AA9" i="9"/>
  <c r="AC47" i="9"/>
  <c r="AJ47" i="9"/>
  <c r="AA47" i="9"/>
  <c r="AH47" i="9"/>
  <c r="AG61" i="9"/>
  <c r="V61" i="9"/>
  <c r="AK72" i="11"/>
  <c r="AE25" i="11"/>
  <c r="AC25" i="11"/>
  <c r="R66" i="56"/>
  <c r="AJ32" i="9"/>
  <c r="AI61" i="9"/>
  <c r="Z61" i="9"/>
  <c r="AG8" i="9"/>
  <c r="AC65" i="9"/>
  <c r="AH9" i="9"/>
  <c r="AA45" i="9"/>
  <c r="Y45" i="9"/>
  <c r="V39" i="9"/>
  <c r="V30" i="9"/>
  <c r="AB15" i="9"/>
  <c r="AF26" i="11"/>
  <c r="AI26" i="11"/>
  <c r="AD26" i="11"/>
  <c r="AA26" i="11"/>
  <c r="AB8" i="9"/>
  <c r="AD8" i="9"/>
  <c r="Y37" i="9"/>
  <c r="X37" i="9"/>
  <c r="AJ53" i="9"/>
  <c r="AA53" i="9"/>
  <c r="AD53" i="9"/>
  <c r="W53" i="9"/>
  <c r="AC26" i="11"/>
  <c r="AB53" i="9"/>
  <c r="AF45" i="9"/>
  <c r="W45" i="9"/>
  <c r="AK45" i="9"/>
  <c r="AG9" i="9"/>
  <c r="AI9" i="9"/>
  <c r="W9" i="9"/>
  <c r="AF9" i="9"/>
  <c r="AI23" i="9"/>
  <c r="AC23" i="9"/>
  <c r="V23" i="11"/>
  <c r="AA23" i="11" s="1"/>
  <c r="X23" i="9"/>
  <c r="W26" i="11"/>
  <c r="R33" i="56"/>
  <c r="S11" i="56"/>
  <c r="AD46" i="9"/>
  <c r="AG54" i="9"/>
  <c r="AJ54" i="9"/>
  <c r="AC15" i="9"/>
  <c r="AD23" i="9"/>
  <c r="V9" i="9"/>
  <c r="X9" i="9"/>
  <c r="AE65" i="9"/>
  <c r="AH53" i="9"/>
  <c r="AE45" i="9"/>
  <c r="AE9" i="9"/>
  <c r="X16" i="9"/>
  <c r="AD16" i="9"/>
  <c r="Y16" i="9"/>
  <c r="AI55" i="9"/>
  <c r="Y55" i="9"/>
  <c r="AG55" i="9"/>
  <c r="AB55" i="9"/>
  <c r="I26" i="31"/>
  <c r="J26" i="31" s="1"/>
  <c r="AG46" i="9"/>
  <c r="AG30" i="9"/>
  <c r="V54" i="9"/>
  <c r="AC54" i="9"/>
  <c r="V37" i="9"/>
  <c r="AH4" i="11"/>
  <c r="AA38" i="9"/>
  <c r="V55" i="9"/>
  <c r="AA23" i="9"/>
  <c r="AE53" i="9"/>
  <c r="Y38" i="9"/>
  <c r="AK15" i="9"/>
  <c r="V15" i="11"/>
  <c r="AE15" i="11" s="1"/>
  <c r="AK23" i="9"/>
  <c r="AI53" i="9"/>
  <c r="Y26" i="11"/>
  <c r="Z26" i="11"/>
  <c r="AG11" i="11"/>
  <c r="AF72" i="11"/>
  <c r="AF25" i="11"/>
  <c r="AG25" i="11"/>
  <c r="R72" i="56"/>
  <c r="W46" i="9"/>
  <c r="W30" i="9"/>
  <c r="AG32" i="9"/>
  <c r="AI54" i="9"/>
  <c r="AE42" i="11"/>
  <c r="AE39" i="9"/>
  <c r="AC61" i="9"/>
  <c r="AH61" i="9"/>
  <c r="X15" i="9"/>
  <c r="AG23" i="9"/>
  <c r="Z38" i="9"/>
  <c r="V15" i="9"/>
  <c r="W23" i="9"/>
  <c r="X53" i="9"/>
  <c r="AD9" i="9"/>
  <c r="Z9" i="9"/>
  <c r="AC46" i="9"/>
  <c r="Y32" i="9"/>
  <c r="AA24" i="9"/>
  <c r="AB23" i="9"/>
  <c r="AD48" i="9"/>
  <c r="X11" i="9"/>
  <c r="AH17" i="9"/>
  <c r="W62" i="9"/>
  <c r="AC62" i="9"/>
  <c r="X48" i="9"/>
  <c r="AA17" i="9"/>
  <c r="V48" i="9"/>
  <c r="AD71" i="9"/>
  <c r="W3" i="9"/>
  <c r="V48" i="11"/>
  <c r="W48" i="11" s="1"/>
  <c r="AG17" i="9"/>
  <c r="W17" i="9"/>
  <c r="K46" i="24"/>
  <c r="P55" i="56"/>
  <c r="M48" i="24"/>
  <c r="M49" i="24"/>
  <c r="S62" i="56"/>
  <c r="R43" i="70"/>
  <c r="B2040" i="53" s="1"/>
  <c r="AE48" i="11"/>
  <c r="AD48" i="11"/>
  <c r="AJ48" i="11"/>
  <c r="Y48" i="11"/>
  <c r="Z48" i="11"/>
  <c r="P44" i="56"/>
  <c r="Q58" i="56"/>
  <c r="M25" i="56"/>
  <c r="N25" i="56" s="1"/>
  <c r="U25" i="56" s="1"/>
  <c r="M12" i="24"/>
  <c r="K22" i="24"/>
  <c r="L22" i="24" s="1"/>
  <c r="R22" i="24" s="1"/>
  <c r="B1351" i="53"/>
  <c r="B1322" i="53"/>
  <c r="AH43" i="70"/>
  <c r="B2051" i="53" s="1"/>
  <c r="P39" i="24"/>
  <c r="N41" i="24"/>
  <c r="AG50" i="70"/>
  <c r="B2166" i="53" s="1"/>
  <c r="M68" i="56"/>
  <c r="N68" i="56" s="1"/>
  <c r="U68" i="56" s="1"/>
  <c r="B535" i="53"/>
  <c r="B1620" i="53"/>
  <c r="B1590" i="53"/>
  <c r="B651" i="53"/>
  <c r="V34" i="70"/>
  <c r="AH72" i="9"/>
  <c r="AE72" i="9"/>
  <c r="AC72" i="9"/>
  <c r="AI72" i="9"/>
  <c r="W72" i="9"/>
  <c r="AG72" i="9"/>
  <c r="V72" i="9"/>
  <c r="AK72" i="9"/>
  <c r="AD72" i="9"/>
  <c r="AA72" i="9"/>
  <c r="AF72" i="9"/>
  <c r="X72" i="9"/>
  <c r="Y72" i="9"/>
  <c r="M40" i="24"/>
  <c r="B2353" i="53"/>
  <c r="B2383" i="53"/>
  <c r="W44" i="70"/>
  <c r="B2397" i="53" s="1"/>
  <c r="M15" i="70"/>
  <c r="N15" i="70" s="1"/>
  <c r="B2658" i="53" s="1"/>
  <c r="O36" i="24"/>
  <c r="Q54" i="56"/>
  <c r="O55" i="56"/>
  <c r="P43" i="56"/>
  <c r="O62" i="56"/>
  <c r="P27" i="56"/>
  <c r="I75" i="31"/>
  <c r="S27" i="70"/>
  <c r="B455" i="53" s="1"/>
  <c r="D455" i="53" s="1"/>
  <c r="O24" i="24"/>
  <c r="Q44" i="56"/>
  <c r="S68" i="56"/>
  <c r="R9" i="70"/>
  <c r="R40" i="56"/>
  <c r="R49" i="56"/>
  <c r="R58" i="56"/>
  <c r="M18" i="56"/>
  <c r="N18" i="56" s="1"/>
  <c r="Q78" i="56"/>
  <c r="O35" i="56"/>
  <c r="O11" i="70"/>
  <c r="S39" i="56"/>
  <c r="B203" i="53"/>
  <c r="P23" i="24"/>
  <c r="P41" i="24"/>
  <c r="X28" i="9"/>
  <c r="AC68" i="9"/>
  <c r="V40" i="70"/>
  <c r="B216" i="53"/>
  <c r="V14" i="70"/>
  <c r="AF20" i="9"/>
  <c r="Z20" i="9"/>
  <c r="AE20" i="9"/>
  <c r="AI20" i="9"/>
  <c r="AJ20" i="9"/>
  <c r="AD20" i="9"/>
  <c r="X20" i="9"/>
  <c r="AK20" i="9"/>
  <c r="V20" i="9"/>
  <c r="W20" i="9"/>
  <c r="AH20" i="9"/>
  <c r="AG20" i="9"/>
  <c r="Y20" i="9"/>
  <c r="V20" i="11"/>
  <c r="AB20" i="9"/>
  <c r="AC35" i="9"/>
  <c r="V35" i="9"/>
  <c r="AE35" i="9"/>
  <c r="W35" i="9"/>
  <c r="AJ35" i="9"/>
  <c r="Z35" i="9"/>
  <c r="AG35" i="9"/>
  <c r="AA35" i="9"/>
  <c r="AI35" i="9"/>
  <c r="V35" i="11"/>
  <c r="W35" i="11" s="1"/>
  <c r="AF35" i="9"/>
  <c r="X35" i="9"/>
  <c r="Y35" i="9"/>
  <c r="AK35" i="9"/>
  <c r="AH35" i="9"/>
  <c r="AD35" i="9"/>
  <c r="V51" i="11"/>
  <c r="AC51" i="9"/>
  <c r="AE51" i="9"/>
  <c r="X51" i="9"/>
  <c r="AK51" i="9"/>
  <c r="V51" i="9"/>
  <c r="AI51" i="9"/>
  <c r="AH51" i="9"/>
  <c r="AJ51" i="9"/>
  <c r="AA51" i="9"/>
  <c r="AD51" i="9"/>
  <c r="AG51" i="9"/>
  <c r="AF51" i="9"/>
  <c r="Y51" i="9"/>
  <c r="AH64" i="9"/>
  <c r="AK64" i="9"/>
  <c r="AA64" i="9"/>
  <c r="V64" i="11"/>
  <c r="X64" i="9"/>
  <c r="W64" i="9"/>
  <c r="AE64" i="9"/>
  <c r="AF64" i="9"/>
  <c r="AJ64" i="9"/>
  <c r="V64" i="9"/>
  <c r="AG64" i="9"/>
  <c r="Y64" i="9"/>
  <c r="AC64" i="9"/>
  <c r="AB64" i="9"/>
  <c r="M56" i="56"/>
  <c r="N56" i="56" s="1"/>
  <c r="U56" i="56" s="1"/>
  <c r="S36" i="56"/>
  <c r="I98" i="1"/>
  <c r="N98" i="1" s="1"/>
  <c r="M8" i="56"/>
  <c r="N8" i="56" s="1"/>
  <c r="AG24" i="70"/>
  <c r="B377" i="53" s="1"/>
  <c r="M64" i="56"/>
  <c r="N64" i="56" s="1"/>
  <c r="U64" i="56" s="1"/>
  <c r="B69" i="53"/>
  <c r="V9" i="70"/>
  <c r="P9" i="56"/>
  <c r="M35" i="56"/>
  <c r="N35" i="56" s="1"/>
  <c r="U35" i="56" s="1"/>
  <c r="AG42" i="70"/>
  <c r="B899" i="53" s="1"/>
  <c r="M14" i="56"/>
  <c r="N14" i="56" s="1"/>
  <c r="N47" i="24"/>
  <c r="B2592" i="53"/>
  <c r="B65" i="53"/>
  <c r="B2622" i="53"/>
  <c r="M11" i="70"/>
  <c r="S42" i="56"/>
  <c r="R74" i="56"/>
  <c r="M36" i="24"/>
  <c r="P54" i="56"/>
  <c r="S63" i="56"/>
  <c r="B1918" i="53"/>
  <c r="V41" i="70"/>
  <c r="R63" i="56"/>
  <c r="R61" i="56"/>
  <c r="Q49" i="56"/>
  <c r="M38" i="24"/>
  <c r="R26" i="56"/>
  <c r="O63" i="56"/>
  <c r="S54" i="56"/>
  <c r="O14" i="24"/>
  <c r="M44" i="24"/>
  <c r="K20" i="24"/>
  <c r="O75" i="56"/>
  <c r="S65" i="56"/>
  <c r="O12" i="24"/>
  <c r="P57" i="56"/>
  <c r="M22" i="24"/>
  <c r="O76" i="56"/>
  <c r="M63" i="56"/>
  <c r="N63" i="56" s="1"/>
  <c r="U63" i="56" s="1"/>
  <c r="M29" i="56"/>
  <c r="S13" i="56"/>
  <c r="B1219" i="53"/>
  <c r="AG30" i="70"/>
  <c r="B551" i="53" s="1"/>
  <c r="N18" i="24"/>
  <c r="P78" i="56"/>
  <c r="P14" i="56"/>
  <c r="M11" i="24"/>
  <c r="AG28" i="70"/>
  <c r="B493" i="53" s="1"/>
  <c r="B290" i="53"/>
  <c r="O50" i="56"/>
  <c r="S71" i="56"/>
  <c r="S32" i="56"/>
  <c r="O46" i="24"/>
  <c r="N14" i="24"/>
  <c r="K47" i="24"/>
  <c r="L47" i="24" s="1"/>
  <c r="R47" i="24" s="1"/>
  <c r="O20" i="56"/>
  <c r="P32" i="24"/>
  <c r="O33" i="56"/>
  <c r="S26" i="56"/>
  <c r="M42" i="56"/>
  <c r="N42" i="56" s="1"/>
  <c r="U42" i="56" s="1"/>
  <c r="P29" i="24"/>
  <c r="N46" i="24"/>
  <c r="K25" i="24"/>
  <c r="M6" i="56"/>
  <c r="N6" i="56" s="1"/>
  <c r="P28" i="24"/>
  <c r="Q27" i="56"/>
  <c r="K34" i="24"/>
  <c r="L34" i="24" s="1"/>
  <c r="R34" i="24" s="1"/>
  <c r="Q19" i="56"/>
  <c r="R60" i="56"/>
  <c r="AG40" i="70"/>
  <c r="Q73" i="56"/>
  <c r="O14" i="56"/>
  <c r="O19" i="24"/>
  <c r="R23" i="56"/>
  <c r="K6" i="24"/>
  <c r="L6" i="24" s="1"/>
  <c r="AG34" i="70"/>
  <c r="B1636" i="53" s="1"/>
  <c r="R29" i="70"/>
  <c r="B1298" i="53" s="1"/>
  <c r="I72" i="1"/>
  <c r="N72" i="1" s="1"/>
  <c r="P24" i="24"/>
  <c r="Q17" i="56"/>
  <c r="AG31" i="70"/>
  <c r="B1397" i="53" s="1"/>
  <c r="AG25" i="70"/>
  <c r="B406" i="53" s="1"/>
  <c r="R22" i="70"/>
  <c r="B309" i="53" s="1"/>
  <c r="D309" i="53" s="1"/>
  <c r="M26" i="24"/>
  <c r="O42" i="56"/>
  <c r="P7" i="56"/>
  <c r="R51" i="56"/>
  <c r="N39" i="24"/>
  <c r="R38" i="70"/>
  <c r="B1865" i="53" s="1"/>
  <c r="D1865" i="53" s="1"/>
  <c r="M70" i="56"/>
  <c r="N70" i="56" s="1"/>
  <c r="U70" i="56" s="1"/>
  <c r="R21" i="56"/>
  <c r="I91" i="1"/>
  <c r="N91" i="1" s="1"/>
  <c r="Q26" i="56"/>
  <c r="R17" i="70"/>
  <c r="B918" i="53" s="1"/>
  <c r="D918" i="53" s="1"/>
  <c r="O45" i="56"/>
  <c r="M24" i="24"/>
  <c r="S30" i="70"/>
  <c r="B542" i="53" s="1"/>
  <c r="P35" i="24"/>
  <c r="O25" i="24"/>
  <c r="O20" i="24"/>
  <c r="K28" i="24"/>
  <c r="L28" i="24" s="1"/>
  <c r="R28" i="24" s="1"/>
  <c r="P6" i="56"/>
  <c r="O66" i="56"/>
  <c r="O9" i="70"/>
  <c r="AG26" i="70"/>
  <c r="B435" i="53" s="1"/>
  <c r="N12" i="24"/>
  <c r="O22" i="56"/>
  <c r="M19" i="56"/>
  <c r="N19" i="56" s="1"/>
  <c r="B1695" i="53"/>
  <c r="AG35" i="70"/>
  <c r="B725" i="53" s="1"/>
  <c r="O41" i="70"/>
  <c r="B857" i="53" s="1"/>
  <c r="S75" i="56"/>
  <c r="P46" i="24"/>
  <c r="O7" i="24"/>
  <c r="M25" i="24"/>
  <c r="S55" i="56"/>
  <c r="S78" i="56"/>
  <c r="Q71" i="56"/>
  <c r="M15" i="24"/>
  <c r="P63" i="56"/>
  <c r="Q32" i="56"/>
  <c r="R28" i="70"/>
  <c r="B483" i="53" s="1"/>
  <c r="I88" i="1"/>
  <c r="R37" i="70"/>
  <c r="B773" i="53" s="1"/>
  <c r="K12" i="24"/>
  <c r="P15" i="24"/>
  <c r="R42" i="56"/>
  <c r="Q42" i="56"/>
  <c r="O21" i="56"/>
  <c r="K49" i="24"/>
  <c r="L49" i="24" s="1"/>
  <c r="R49" i="24" s="1"/>
  <c r="R8" i="56"/>
  <c r="O11" i="24"/>
  <c r="I96" i="1"/>
  <c r="N96" i="1" s="1"/>
  <c r="I74" i="1"/>
  <c r="N74" i="1" s="1"/>
  <c r="I99" i="1"/>
  <c r="P14" i="24"/>
  <c r="P35" i="56"/>
  <c r="I57" i="1"/>
  <c r="N57" i="1" s="1"/>
  <c r="P57" i="1" s="1"/>
  <c r="R10" i="70"/>
  <c r="S40" i="56"/>
  <c r="Q56" i="56"/>
  <c r="P56" i="56"/>
  <c r="P30" i="56"/>
  <c r="Q79" i="56"/>
  <c r="Q43" i="56"/>
  <c r="R65" i="56"/>
  <c r="O49" i="70"/>
  <c r="B2124" i="53" s="1"/>
  <c r="D2124" i="53" s="1"/>
  <c r="B174" i="53"/>
  <c r="K19" i="24"/>
  <c r="O34" i="70"/>
  <c r="B1623" i="53" s="1"/>
  <c r="N23" i="24"/>
  <c r="O59" i="56"/>
  <c r="O77" i="56"/>
  <c r="S43" i="56"/>
  <c r="R44" i="70"/>
  <c r="B976" i="53" s="1"/>
  <c r="D976" i="53" s="1"/>
  <c r="M77" i="56"/>
  <c r="N77" i="56" s="1"/>
  <c r="U77" i="56" s="1"/>
  <c r="N19" i="24"/>
  <c r="P19" i="24"/>
  <c r="S49" i="70"/>
  <c r="B2128" i="53" s="1"/>
  <c r="D2128" i="53" s="1"/>
  <c r="Q6" i="56"/>
  <c r="M21" i="56"/>
  <c r="N21" i="56" s="1"/>
  <c r="O30" i="56"/>
  <c r="M26" i="56"/>
  <c r="I61" i="1"/>
  <c r="N61" i="1" s="1"/>
  <c r="P61" i="1" s="1"/>
  <c r="R29" i="56"/>
  <c r="O25" i="70"/>
  <c r="B393" i="53" s="1"/>
  <c r="S29" i="56"/>
  <c r="O42" i="70"/>
  <c r="B1979" i="53" s="1"/>
  <c r="P74" i="56"/>
  <c r="M27" i="56"/>
  <c r="S12" i="70"/>
  <c r="B165" i="53" s="1"/>
  <c r="D165" i="53" s="1"/>
  <c r="P17" i="56"/>
  <c r="Q63" i="56"/>
  <c r="P20" i="24"/>
  <c r="AG27" i="70"/>
  <c r="B464" i="53" s="1"/>
  <c r="O56" i="56"/>
  <c r="K41" i="24"/>
  <c r="L41" i="24" s="1"/>
  <c r="R41" i="24" s="1"/>
  <c r="I97" i="1"/>
  <c r="N97" i="1" s="1"/>
  <c r="AG38" i="70"/>
  <c r="B812" i="53" s="1"/>
  <c r="R50" i="70"/>
  <c r="B2512" i="53" s="1"/>
  <c r="P65" i="56"/>
  <c r="N16" i="24"/>
  <c r="R70" i="56"/>
  <c r="M27" i="24"/>
  <c r="O46" i="56"/>
  <c r="O44" i="70"/>
  <c r="B2360" i="53" s="1"/>
  <c r="D2360" i="53" s="1"/>
  <c r="O48" i="24"/>
  <c r="O79" i="56"/>
  <c r="R54" i="56"/>
  <c r="S79" i="56"/>
  <c r="R14" i="56"/>
  <c r="N7" i="24"/>
  <c r="P6" i="24"/>
  <c r="N15" i="24"/>
  <c r="M73" i="56"/>
  <c r="N73" i="56" s="1"/>
  <c r="U73" i="56" s="1"/>
  <c r="S23" i="56"/>
  <c r="P25" i="24"/>
  <c r="S70" i="56"/>
  <c r="P16" i="56"/>
  <c r="P22" i="56"/>
  <c r="P77" i="56"/>
  <c r="Q16" i="56"/>
  <c r="S35" i="56"/>
  <c r="Q64" i="56"/>
  <c r="R19" i="56"/>
  <c r="M55" i="56"/>
  <c r="N55" i="56" s="1"/>
  <c r="U55" i="56" s="1"/>
  <c r="R47" i="56"/>
  <c r="R35" i="70"/>
  <c r="B1745" i="53" s="1"/>
  <c r="S34" i="70"/>
  <c r="B1597" i="53" s="1"/>
  <c r="R7" i="70"/>
  <c r="B1209" i="53" s="1"/>
  <c r="Q67" i="56"/>
  <c r="O32" i="24"/>
  <c r="M34" i="24"/>
  <c r="O51" i="56"/>
  <c r="R77" i="56"/>
  <c r="O47" i="24"/>
  <c r="O64" i="56"/>
  <c r="P39" i="56"/>
  <c r="Q66" i="56"/>
  <c r="P71" i="56"/>
  <c r="M79" i="56"/>
  <c r="N79" i="56" s="1"/>
  <c r="U79" i="56" s="1"/>
  <c r="P7" i="24"/>
  <c r="I71" i="1"/>
  <c r="N71" i="1" s="1"/>
  <c r="S51" i="56"/>
  <c r="R57" i="56"/>
  <c r="O18" i="24"/>
  <c r="R24" i="70"/>
  <c r="B367" i="53" s="1"/>
  <c r="D367" i="53" s="1"/>
  <c r="M41" i="24"/>
  <c r="P21" i="24"/>
  <c r="M66" i="56"/>
  <c r="N66" i="56" s="1"/>
  <c r="U66" i="56" s="1"/>
  <c r="I56" i="1"/>
  <c r="N56" i="1" s="1"/>
  <c r="P56" i="1" s="1"/>
  <c r="AG37" i="70"/>
  <c r="B783" i="53" s="1"/>
  <c r="O74" i="56"/>
  <c r="M42" i="24"/>
  <c r="O67" i="56"/>
  <c r="O10" i="56"/>
  <c r="M46" i="24"/>
  <c r="N8" i="24"/>
  <c r="I81" i="1"/>
  <c r="N81" i="1" s="1"/>
  <c r="N22" i="24"/>
  <c r="O32" i="56"/>
  <c r="O28" i="56"/>
  <c r="R55" i="56"/>
  <c r="P34" i="24"/>
  <c r="O20" i="70"/>
  <c r="B248" i="53" s="1"/>
  <c r="M9" i="24"/>
  <c r="R11" i="56"/>
  <c r="O23" i="24"/>
  <c r="O36" i="56"/>
  <c r="P11" i="56"/>
  <c r="R32" i="56"/>
  <c r="P47" i="24"/>
  <c r="K32" i="24"/>
  <c r="L32" i="24" s="1"/>
  <c r="R32" i="24" s="1"/>
  <c r="K7" i="24"/>
  <c r="L7" i="24" s="1"/>
  <c r="AG44" i="70"/>
  <c r="B2108" i="53" s="1"/>
  <c r="M23" i="56"/>
  <c r="P22" i="24"/>
  <c r="AG51" i="70"/>
  <c r="B2582" i="53" s="1"/>
  <c r="O26" i="70"/>
  <c r="B422" i="53" s="1"/>
  <c r="D422" i="53" s="1"/>
  <c r="S66" i="56"/>
  <c r="AG43" i="70"/>
  <c r="B1963" i="53" s="1"/>
  <c r="S69" i="56"/>
  <c r="P66" i="56"/>
  <c r="M49" i="56"/>
  <c r="N49" i="56" s="1"/>
  <c r="U49" i="56" s="1"/>
  <c r="R44" i="56"/>
  <c r="M39" i="56"/>
  <c r="N39" i="56" s="1"/>
  <c r="U39" i="56" s="1"/>
  <c r="O8" i="24"/>
  <c r="O16" i="56"/>
  <c r="P30" i="24"/>
  <c r="K18" i="24"/>
  <c r="L18" i="24" s="1"/>
  <c r="R18" i="24" s="1"/>
  <c r="M6" i="24"/>
  <c r="P70" i="56"/>
  <c r="O53" i="56"/>
  <c r="M21" i="24"/>
  <c r="O52" i="56"/>
  <c r="M29" i="24"/>
  <c r="S17" i="56"/>
  <c r="R25" i="70"/>
  <c r="B396" i="53" s="1"/>
  <c r="O7" i="70"/>
  <c r="B1206" i="53" s="1"/>
  <c r="AG32" i="70"/>
  <c r="B1457" i="53" s="1"/>
  <c r="R56" i="56"/>
  <c r="P12" i="24"/>
  <c r="Q68" i="56"/>
  <c r="O68" i="56"/>
  <c r="P75" i="56"/>
  <c r="M18" i="24"/>
  <c r="P44" i="24"/>
  <c r="O14" i="70"/>
  <c r="B219" i="53" s="1"/>
  <c r="P42" i="24"/>
  <c r="Q75" i="56"/>
  <c r="O50" i="70"/>
  <c r="B2509" i="53" s="1"/>
  <c r="S6" i="56"/>
  <c r="Q35" i="56"/>
  <c r="R78" i="56"/>
  <c r="Q25" i="56"/>
  <c r="M8" i="24"/>
  <c r="AG22" i="70"/>
  <c r="B319" i="53" s="1"/>
  <c r="R21" i="70"/>
  <c r="B280" i="53" s="1"/>
  <c r="D280" i="53" s="1"/>
  <c r="S19" i="56"/>
  <c r="B2224" i="53"/>
  <c r="S14" i="56"/>
  <c r="O49" i="56"/>
  <c r="AG33" i="70"/>
  <c r="B638" i="53" s="1"/>
  <c r="P11" i="24"/>
  <c r="K11" i="24"/>
  <c r="M54" i="56"/>
  <c r="N54" i="56" s="1"/>
  <c r="U54" i="56" s="1"/>
  <c r="S18" i="56"/>
  <c r="P16" i="24"/>
  <c r="O44" i="56"/>
  <c r="R17" i="56"/>
  <c r="O31" i="70"/>
  <c r="B1414" i="53" s="1"/>
  <c r="D1414" i="53" s="1"/>
  <c r="R20" i="56"/>
  <c r="S74" i="56"/>
  <c r="M47" i="56"/>
  <c r="N47" i="56" s="1"/>
  <c r="U47" i="56" s="1"/>
  <c r="I63" i="1"/>
  <c r="N63" i="1" s="1"/>
  <c r="P63" i="1" s="1"/>
  <c r="M57" i="56"/>
  <c r="N57" i="56" s="1"/>
  <c r="U57" i="56" s="1"/>
  <c r="M20" i="56"/>
  <c r="R12" i="70"/>
  <c r="B164" i="53" s="1"/>
  <c r="D164" i="53" s="1"/>
  <c r="S20" i="70"/>
  <c r="B252" i="53" s="1"/>
  <c r="S10" i="56"/>
  <c r="S20" i="56"/>
  <c r="P29" i="56"/>
  <c r="O19" i="56"/>
  <c r="O47" i="56"/>
  <c r="P69" i="56"/>
  <c r="M16" i="24"/>
  <c r="S64" i="56"/>
  <c r="M17" i="56"/>
  <c r="O21" i="70"/>
  <c r="B277" i="53" s="1"/>
  <c r="D277" i="53" s="1"/>
  <c r="R45" i="56"/>
  <c r="I64" i="1"/>
  <c r="N64" i="1" s="1"/>
  <c r="P64" i="1" s="1"/>
  <c r="S56" i="56"/>
  <c r="R30" i="56"/>
  <c r="O18" i="70"/>
  <c r="B1682" i="53" s="1"/>
  <c r="P36" i="24"/>
  <c r="O29" i="70"/>
  <c r="B509" i="53" s="1"/>
  <c r="M37" i="24"/>
  <c r="O73" i="56"/>
  <c r="O17" i="70"/>
  <c r="B2211" i="53" s="1"/>
  <c r="D2211" i="53" s="1"/>
  <c r="O28" i="24"/>
  <c r="AG23" i="70"/>
  <c r="B348" i="53" s="1"/>
  <c r="M16" i="56"/>
  <c r="P76" i="56"/>
  <c r="AG29" i="70"/>
  <c r="B1278" i="53" s="1"/>
  <c r="I77" i="1"/>
  <c r="N77" i="1" s="1"/>
  <c r="O35" i="24"/>
  <c r="AG36" i="70"/>
  <c r="B1785" i="53" s="1"/>
  <c r="Q29" i="56"/>
  <c r="O27" i="56"/>
  <c r="P47" i="56"/>
  <c r="O43" i="56"/>
  <c r="M67" i="56"/>
  <c r="N67" i="56" s="1"/>
  <c r="U67" i="56" s="1"/>
  <c r="P62" i="56"/>
  <c r="O28" i="70"/>
  <c r="B480" i="53" s="1"/>
  <c r="O27" i="70"/>
  <c r="B451" i="53" s="1"/>
  <c r="D451" i="53" s="1"/>
  <c r="N11" i="24"/>
  <c r="P20" i="56"/>
  <c r="N32" i="24"/>
  <c r="R25" i="56"/>
  <c r="R6" i="56"/>
  <c r="K35" i="24"/>
  <c r="L35" i="24" s="1"/>
  <c r="R35" i="24" s="1"/>
  <c r="R49" i="70"/>
  <c r="B1005" i="53" s="1"/>
  <c r="D1005" i="53" s="1"/>
  <c r="S77" i="56"/>
  <c r="S76" i="56"/>
  <c r="O43" i="70"/>
  <c r="B2271" i="53" s="1"/>
  <c r="D2271" i="53" s="1"/>
  <c r="P48" i="24"/>
  <c r="P9" i="24"/>
  <c r="R34" i="56"/>
  <c r="M39" i="24"/>
  <c r="M12" i="70"/>
  <c r="N12" i="70" s="1"/>
  <c r="B160" i="53" s="1"/>
  <c r="M13" i="56"/>
  <c r="S49" i="56"/>
  <c r="Q47" i="56"/>
  <c r="AG49" i="70"/>
  <c r="B2432" i="53" s="1"/>
  <c r="AI64" i="9"/>
  <c r="S24" i="70"/>
  <c r="B368" i="53" s="1"/>
  <c r="D368" i="53" s="1"/>
  <c r="M20" i="70"/>
  <c r="B246" i="53" s="1"/>
  <c r="R64" i="56"/>
  <c r="R38" i="56"/>
  <c r="P43" i="24"/>
  <c r="P67" i="56"/>
  <c r="R20" i="70"/>
  <c r="B251" i="53" s="1"/>
  <c r="M58" i="56"/>
  <c r="N58" i="56" s="1"/>
  <c r="U58" i="56" s="1"/>
  <c r="M78" i="56"/>
  <c r="N78" i="56" s="1"/>
  <c r="U78" i="56" s="1"/>
  <c r="S7" i="56"/>
  <c r="Q70" i="56"/>
  <c r="R16" i="56"/>
  <c r="M20" i="24"/>
  <c r="O34" i="56"/>
  <c r="K15" i="24"/>
  <c r="P21" i="56"/>
  <c r="AK11" i="11"/>
  <c r="AB11" i="11"/>
  <c r="X11" i="11"/>
  <c r="AC11" i="11"/>
  <c r="Y11" i="11"/>
  <c r="AA11" i="11"/>
  <c r="AJ11" i="11"/>
  <c r="AE11" i="11"/>
  <c r="Z11" i="11"/>
  <c r="AD11" i="11"/>
  <c r="Y68" i="9"/>
  <c r="I24" i="31"/>
  <c r="X24" i="11"/>
  <c r="AG24" i="11"/>
  <c r="AE24" i="11"/>
  <c r="AD24" i="11"/>
  <c r="AB24" i="11"/>
  <c r="Y24" i="11"/>
  <c r="AI24" i="11"/>
  <c r="AH24" i="11"/>
  <c r="AJ24" i="11"/>
  <c r="W13" i="70"/>
  <c r="B197" i="53" s="1"/>
  <c r="V13" i="70"/>
  <c r="AB6" i="9"/>
  <c r="V6" i="9"/>
  <c r="X6" i="9"/>
  <c r="Z6" i="9"/>
  <c r="Y6" i="9"/>
  <c r="AJ6" i="9"/>
  <c r="AK6" i="9"/>
  <c r="AG6" i="9"/>
  <c r="AI6" i="9"/>
  <c r="AH6" i="9"/>
  <c r="AD6" i="9"/>
  <c r="AF6" i="9"/>
  <c r="W6" i="9"/>
  <c r="AA6" i="9"/>
  <c r="AE6" i="9"/>
  <c r="AC6" i="9"/>
  <c r="AJ28" i="9"/>
  <c r="AE28" i="9"/>
  <c r="AF28" i="9"/>
  <c r="AH28" i="9"/>
  <c r="W28" i="9"/>
  <c r="AG28" i="9"/>
  <c r="Z28" i="9"/>
  <c r="AD28" i="9"/>
  <c r="AC28" i="9"/>
  <c r="AA28" i="9"/>
  <c r="V28" i="11"/>
  <c r="AB28" i="9"/>
  <c r="AK28" i="9"/>
  <c r="Z43" i="9"/>
  <c r="AE43" i="9"/>
  <c r="AJ43" i="9"/>
  <c r="AH59" i="9"/>
  <c r="Y59" i="9"/>
  <c r="AD59" i="9"/>
  <c r="AA60" i="9"/>
  <c r="AF60" i="9"/>
  <c r="AG60" i="9"/>
  <c r="AH60" i="9"/>
  <c r="V60" i="11"/>
  <c r="AK60" i="9"/>
  <c r="AC60" i="9"/>
  <c r="V60" i="9"/>
  <c r="Z60" i="9"/>
  <c r="AE60" i="9"/>
  <c r="AJ60" i="9"/>
  <c r="W60" i="9"/>
  <c r="X60" i="9"/>
  <c r="Y60" i="9"/>
  <c r="AD60" i="9"/>
  <c r="AB60" i="9"/>
  <c r="AI60" i="9"/>
  <c r="V68" i="11"/>
  <c r="AJ68" i="9"/>
  <c r="V68" i="9"/>
  <c r="AB68" i="9"/>
  <c r="AF68" i="9"/>
  <c r="Z68" i="9"/>
  <c r="W68" i="9"/>
  <c r="AG68" i="9"/>
  <c r="AE68" i="9"/>
  <c r="AA68" i="9"/>
  <c r="AH68" i="9"/>
  <c r="X68" i="9"/>
  <c r="AI68" i="9"/>
  <c r="W15" i="70"/>
  <c r="B1038" i="53" s="1"/>
  <c r="M41" i="70"/>
  <c r="N41" i="70" s="1"/>
  <c r="B1920" i="53" s="1"/>
  <c r="R10" i="56"/>
  <c r="O54" i="56"/>
  <c r="Q11" i="56"/>
  <c r="Z51" i="9"/>
  <c r="B738" i="53"/>
  <c r="B1769" i="53"/>
  <c r="B1799" i="53"/>
  <c r="AH48" i="11"/>
  <c r="AH21" i="70"/>
  <c r="B291" i="53" s="1"/>
  <c r="S67" i="56"/>
  <c r="Q69" i="56"/>
  <c r="M62" i="56"/>
  <c r="N62" i="56" s="1"/>
  <c r="U62" i="56" s="1"/>
  <c r="N49" i="24"/>
  <c r="B232" i="53"/>
  <c r="V6" i="11"/>
  <c r="B1739" i="53"/>
  <c r="B1709" i="53"/>
  <c r="S15" i="70"/>
  <c r="B2663" i="53" s="1"/>
  <c r="D2663" i="53" s="1"/>
  <c r="P23" i="56"/>
  <c r="N28" i="24"/>
  <c r="O65" i="56"/>
  <c r="S9" i="56"/>
  <c r="Z72" i="11"/>
  <c r="Y72" i="11"/>
  <c r="X72" i="11"/>
  <c r="AI72" i="11"/>
  <c r="AJ72" i="11"/>
  <c r="W72" i="11"/>
  <c r="AH72" i="11"/>
  <c r="AC72" i="11"/>
  <c r="AE72" i="11"/>
  <c r="W45" i="70"/>
  <c r="B2606" i="53" s="1"/>
  <c r="B99" i="53"/>
  <c r="B2776" i="53"/>
  <c r="B2806" i="53"/>
  <c r="B1173" i="53"/>
  <c r="AB72" i="11"/>
  <c r="N36" i="24"/>
  <c r="O37" i="56"/>
  <c r="O23" i="56"/>
  <c r="I83" i="1"/>
  <c r="N83" i="1" s="1"/>
  <c r="M43" i="56"/>
  <c r="N43" i="56" s="1"/>
  <c r="U43" i="56" s="1"/>
  <c r="S16" i="56"/>
  <c r="R7" i="56"/>
  <c r="W56" i="11"/>
  <c r="AB56" i="11"/>
  <c r="I57" i="31"/>
  <c r="J57" i="31" s="1"/>
  <c r="AE33" i="11"/>
  <c r="AA33" i="11"/>
  <c r="AJ72" i="9"/>
  <c r="AG72" i="11"/>
  <c r="M23" i="70"/>
  <c r="N23" i="70" s="1"/>
  <c r="B334" i="53" s="1"/>
  <c r="P26" i="24"/>
  <c r="Q13" i="56"/>
  <c r="M32" i="56"/>
  <c r="N32" i="56" s="1"/>
  <c r="U32" i="56" s="1"/>
  <c r="S21" i="56"/>
  <c r="N48" i="24"/>
  <c r="P49" i="56"/>
  <c r="O69" i="56"/>
  <c r="O7" i="56"/>
  <c r="S57" i="56"/>
  <c r="O10" i="70"/>
  <c r="R31" i="70"/>
  <c r="B570" i="53" s="1"/>
  <c r="D570" i="53" s="1"/>
  <c r="K48" i="24"/>
  <c r="L48" i="24" s="1"/>
  <c r="R48" i="24" s="1"/>
  <c r="O25" i="56"/>
  <c r="M69" i="56"/>
  <c r="N69" i="56" s="1"/>
  <c r="U69" i="56" s="1"/>
  <c r="O39" i="24"/>
  <c r="AC20" i="9"/>
  <c r="Z64" i="9"/>
  <c r="AD64" i="9"/>
  <c r="AK68" i="9"/>
  <c r="B854" i="53"/>
  <c r="AC58" i="11"/>
  <c r="AG63" i="11"/>
  <c r="W32" i="70"/>
  <c r="B1451" i="53" s="1"/>
  <c r="B1471" i="53"/>
  <c r="AH42" i="11"/>
  <c r="X42" i="11"/>
  <c r="AJ42" i="11"/>
  <c r="AI30" i="11"/>
  <c r="AK30" i="11"/>
  <c r="AA30" i="11"/>
  <c r="Z30" i="11"/>
  <c r="AH9" i="70"/>
  <c r="AI14" i="11"/>
  <c r="W42" i="70"/>
  <c r="V42" i="70"/>
  <c r="B1972" i="53"/>
  <c r="B879" i="53"/>
  <c r="AH25" i="70"/>
  <c r="B407" i="53" s="1"/>
  <c r="X58" i="11"/>
  <c r="AB30" i="11"/>
  <c r="AC30" i="11"/>
  <c r="I9" i="31"/>
  <c r="AF9" i="11"/>
  <c r="AD9" i="11"/>
  <c r="Z9" i="11"/>
  <c r="AB9" i="11"/>
  <c r="X9" i="11"/>
  <c r="AG9" i="11"/>
  <c r="AK9" i="11"/>
  <c r="AE9" i="11"/>
  <c r="W9" i="11"/>
  <c r="AA9" i="11"/>
  <c r="AD24" i="9"/>
  <c r="W24" i="9"/>
  <c r="V24" i="9"/>
  <c r="AJ24" i="9"/>
  <c r="AE24" i="9"/>
  <c r="AK24" i="9"/>
  <c r="Z24" i="9"/>
  <c r="V39" i="11"/>
  <c r="AD39" i="11" s="1"/>
  <c r="AI39" i="9"/>
  <c r="AK39" i="9"/>
  <c r="AG39" i="9"/>
  <c r="AH14" i="70"/>
  <c r="B233" i="53" s="1"/>
  <c r="AH44" i="70"/>
  <c r="B987" i="53" s="1"/>
  <c r="AA39" i="9"/>
  <c r="AH55" i="9"/>
  <c r="B2001" i="53"/>
  <c r="B2204" i="53"/>
  <c r="V17" i="70"/>
  <c r="X47" i="9"/>
  <c r="AK16" i="9"/>
  <c r="V47" i="9"/>
  <c r="AB3" i="9"/>
  <c r="AF3" i="9"/>
  <c r="AK3" i="9"/>
  <c r="X3" i="9"/>
  <c r="V3" i="9"/>
  <c r="AJ3" i="9"/>
  <c r="V3" i="11"/>
  <c r="Z3" i="9"/>
  <c r="Y3" i="9"/>
  <c r="AC3" i="9"/>
  <c r="AJ55" i="9"/>
  <c r="W55" i="9"/>
  <c r="AK55" i="9"/>
  <c r="AK71" i="11"/>
  <c r="X26" i="11"/>
  <c r="AH26" i="11"/>
  <c r="M40" i="56"/>
  <c r="N40" i="56" s="1"/>
  <c r="U40" i="56" s="1"/>
  <c r="Q34" i="56"/>
  <c r="AH36" i="70"/>
  <c r="B1816" i="53" s="1"/>
  <c r="W39" i="9"/>
  <c r="AH24" i="9"/>
  <c r="V55" i="11"/>
  <c r="AK55" i="11" s="1"/>
  <c r="AC55" i="9"/>
  <c r="AA16" i="9"/>
  <c r="AH3" i="9"/>
  <c r="AH10" i="9"/>
  <c r="V10" i="11"/>
  <c r="Z10" i="11" s="1"/>
  <c r="AG16" i="9"/>
  <c r="W16" i="9"/>
  <c r="AF16" i="9"/>
  <c r="AC16" i="9"/>
  <c r="Z32" i="9"/>
  <c r="AA32" i="9"/>
  <c r="V32" i="9"/>
  <c r="AK32" i="9"/>
  <c r="W32" i="9"/>
  <c r="AF32" i="9"/>
  <c r="X32" i="9"/>
  <c r="AG47" i="9"/>
  <c r="AB47" i="9"/>
  <c r="AK47" i="9"/>
  <c r="Y47" i="9"/>
  <c r="AA61" i="9"/>
  <c r="AD61" i="9"/>
  <c r="Y61" i="9"/>
  <c r="V43" i="70"/>
  <c r="B2030" i="53"/>
  <c r="W43" i="70"/>
  <c r="B2248" i="53" s="1"/>
  <c r="B1884" i="53"/>
  <c r="AB32" i="9"/>
  <c r="AJ26" i="11"/>
  <c r="AH8" i="70"/>
  <c r="V32" i="11"/>
  <c r="I32" i="31" s="1"/>
  <c r="Y39" i="9"/>
  <c r="Z39" i="9"/>
  <c r="AF24" i="9"/>
  <c r="X55" i="9"/>
  <c r="Z55" i="9"/>
  <c r="AF55" i="9"/>
  <c r="B2264" i="53"/>
  <c r="X24" i="9"/>
  <c r="AD3" i="9"/>
  <c r="AK4" i="11"/>
  <c r="Z4" i="11"/>
  <c r="Y7" i="70"/>
  <c r="B1244" i="53" s="1"/>
  <c r="B1232" i="53"/>
  <c r="AE4" i="9"/>
  <c r="W4" i="9"/>
  <c r="AJ4" i="9"/>
  <c r="Z11" i="9"/>
  <c r="AI11" i="9"/>
  <c r="V11" i="9"/>
  <c r="AF17" i="9"/>
  <c r="AI17" i="9"/>
  <c r="V17" i="11"/>
  <c r="AJ25" i="9"/>
  <c r="Y25" i="9"/>
  <c r="AH25" i="9"/>
  <c r="AK25" i="9"/>
  <c r="Z25" i="9"/>
  <c r="X25" i="9"/>
  <c r="Z48" i="9"/>
  <c r="AC48" i="9"/>
  <c r="AB56" i="9"/>
  <c r="AH56" i="9"/>
  <c r="AK56" i="9"/>
  <c r="AI56" i="9"/>
  <c r="AJ56" i="9"/>
  <c r="AE56" i="9"/>
  <c r="AC56" i="9"/>
  <c r="AF56" i="9"/>
  <c r="AG56" i="9"/>
  <c r="V71" i="9"/>
  <c r="AA71" i="9"/>
  <c r="AF71" i="9"/>
  <c r="O13" i="70"/>
  <c r="B190" i="53" s="1"/>
  <c r="D190" i="53" s="1"/>
  <c r="AA4" i="11"/>
  <c r="AH30" i="70"/>
  <c r="B1368" i="53" s="1"/>
  <c r="AH33" i="70"/>
  <c r="B1518" i="53" s="1"/>
  <c r="W4" i="11"/>
  <c r="B1203" i="53"/>
  <c r="AK48" i="9"/>
  <c r="AA5" i="9"/>
  <c r="V5" i="9"/>
  <c r="AI5" i="9"/>
  <c r="V5" i="11"/>
  <c r="AD5" i="11" s="1"/>
  <c r="V41" i="11"/>
  <c r="Z41" i="9"/>
  <c r="AK41" i="9"/>
  <c r="AA41" i="9"/>
  <c r="AG41" i="9"/>
  <c r="Y41" i="9"/>
  <c r="AJ41" i="9"/>
  <c r="AC49" i="9"/>
  <c r="AF49" i="9"/>
  <c r="AD49" i="9"/>
  <c r="AE49" i="9"/>
  <c r="AJ57" i="9"/>
  <c r="AD57" i="9"/>
  <c r="AK70" i="9"/>
  <c r="AG70" i="9"/>
  <c r="I4" i="31"/>
  <c r="AD4" i="11"/>
  <c r="AJ12" i="9"/>
  <c r="AE12" i="9"/>
  <c r="AF12" i="9"/>
  <c r="AC12" i="9"/>
  <c r="Y12" i="9"/>
  <c r="V12" i="9"/>
  <c r="AD12" i="9"/>
  <c r="W12" i="9"/>
  <c r="W27" i="9"/>
  <c r="AD27" i="9"/>
  <c r="AA27" i="9"/>
  <c r="AJ27" i="9"/>
  <c r="AK27" i="9"/>
  <c r="V34" i="11"/>
  <c r="X34" i="9"/>
  <c r="AB42" i="9"/>
  <c r="AC42" i="9"/>
  <c r="AB58" i="9"/>
  <c r="Y58" i="9"/>
  <c r="AI63" i="9"/>
  <c r="AH63" i="9"/>
  <c r="AD63" i="9"/>
  <c r="V63" i="9"/>
  <c r="AD69" i="9"/>
  <c r="W69" i="9"/>
  <c r="AI69" i="9"/>
  <c r="AC69" i="9"/>
  <c r="AF69" i="9"/>
  <c r="W37" i="70"/>
  <c r="B95" i="53"/>
  <c r="P40" i="24"/>
  <c r="AG54" i="56"/>
  <c r="J61" i="54"/>
  <c r="J67" i="54" s="1"/>
  <c r="B125" i="53"/>
  <c r="B2716" i="53"/>
  <c r="B1057" i="53"/>
  <c r="B2746" i="53"/>
  <c r="B1144" i="53"/>
  <c r="B2652" i="53"/>
  <c r="B2682" i="53"/>
  <c r="B1024" i="53"/>
  <c r="B579" i="53"/>
  <c r="B1426" i="53"/>
  <c r="O40" i="56"/>
  <c r="M65" i="56"/>
  <c r="N65" i="56" s="1"/>
  <c r="U65" i="56" s="1"/>
  <c r="O22" i="24"/>
  <c r="M47" i="24"/>
  <c r="M74" i="56"/>
  <c r="N74" i="56" s="1"/>
  <c r="U74" i="56" s="1"/>
  <c r="N6" i="24"/>
  <c r="Q21" i="56"/>
  <c r="P64" i="56"/>
  <c r="P13" i="56"/>
  <c r="R39" i="56"/>
  <c r="Q20" i="56"/>
  <c r="O34" i="24"/>
  <c r="R73" i="56"/>
  <c r="O13" i="56"/>
  <c r="M19" i="24"/>
  <c r="R59" i="56"/>
  <c r="M76" i="56"/>
  <c r="N76" i="56" s="1"/>
  <c r="U76" i="56" s="1"/>
  <c r="P31" i="24"/>
  <c r="Q30" i="56"/>
  <c r="Q14" i="56"/>
  <c r="O72" i="56"/>
  <c r="M30" i="56"/>
  <c r="N30" i="56" s="1"/>
  <c r="U30" i="56" s="1"/>
  <c r="M11" i="56"/>
  <c r="R9" i="56"/>
  <c r="Q74" i="56"/>
  <c r="S31" i="70"/>
  <c r="B1388" i="53" s="1"/>
  <c r="D1388" i="53" s="1"/>
  <c r="M28" i="24"/>
  <c r="O30" i="70"/>
  <c r="B538" i="53" s="1"/>
  <c r="R13" i="56"/>
  <c r="O8" i="56"/>
  <c r="S58" i="56"/>
  <c r="Q18" i="56"/>
  <c r="R32" i="70"/>
  <c r="B1447" i="53" s="1"/>
  <c r="O32" i="70"/>
  <c r="B1444" i="53" s="1"/>
  <c r="O6" i="24"/>
  <c r="R30" i="70"/>
  <c r="B1328" i="53" s="1"/>
  <c r="R33" i="70"/>
  <c r="B1566" i="53" s="1"/>
  <c r="D1566" i="53" s="1"/>
  <c r="M45" i="24"/>
  <c r="N20" i="24"/>
  <c r="I55" i="1"/>
  <c r="N55" i="1" s="1"/>
  <c r="P55" i="1" s="1"/>
  <c r="R69" i="56"/>
  <c r="O17" i="56"/>
  <c r="S22" i="56"/>
  <c r="Q23" i="56"/>
  <c r="R34" i="70"/>
  <c r="B1626" i="53" s="1"/>
  <c r="R71" i="56"/>
  <c r="M9" i="56"/>
  <c r="S25" i="56"/>
  <c r="O38" i="56"/>
  <c r="O40" i="70"/>
  <c r="B828" i="53" s="1"/>
  <c r="D828" i="53" s="1"/>
  <c r="Q9" i="56"/>
  <c r="I60" i="1"/>
  <c r="N60" i="1" s="1"/>
  <c r="P60" i="1" s="1"/>
  <c r="O31" i="56"/>
  <c r="P58" i="56"/>
  <c r="O37" i="70"/>
  <c r="B1832" i="53" s="1"/>
  <c r="D1832" i="53" s="1"/>
  <c r="M7" i="24"/>
  <c r="O15" i="24"/>
  <c r="S44" i="56"/>
  <c r="P19" i="56"/>
  <c r="Q76" i="56"/>
  <c r="P25" i="56"/>
  <c r="R22" i="56"/>
  <c r="AI22" i="11"/>
  <c r="AG22" i="11"/>
  <c r="AJ22" i="11"/>
  <c r="AC22" i="11"/>
  <c r="X22" i="11"/>
  <c r="Z22" i="11"/>
  <c r="B2476" i="53"/>
  <c r="B2150" i="53"/>
  <c r="B2506" i="53"/>
  <c r="W50" i="70"/>
  <c r="V25" i="70"/>
  <c r="B390" i="53"/>
  <c r="B1262" i="53"/>
  <c r="B1292" i="53"/>
  <c r="B506" i="53"/>
  <c r="V40" i="11"/>
  <c r="AE40" i="9"/>
  <c r="AD40" i="9"/>
  <c r="X40" i="9"/>
  <c r="V40" i="9"/>
  <c r="AH40" i="9"/>
  <c r="AF40" i="9"/>
  <c r="AB40" i="9"/>
  <c r="AI40" i="9"/>
  <c r="Y40" i="9"/>
  <c r="AJ40" i="9"/>
  <c r="AA40" i="9"/>
  <c r="AG40" i="9"/>
  <c r="B1115" i="53"/>
  <c r="B2895" i="53"/>
  <c r="AH31" i="70"/>
  <c r="B1398" i="53" s="1"/>
  <c r="AF29" i="11"/>
  <c r="Z8" i="9"/>
  <c r="V8" i="9"/>
  <c r="AC8" i="9"/>
  <c r="V8" i="11"/>
  <c r="AC8" i="11" s="1"/>
  <c r="Y8" i="9"/>
  <c r="AI8" i="9"/>
  <c r="AF8" i="9"/>
  <c r="W8" i="9"/>
  <c r="AJ8" i="9"/>
  <c r="AE8" i="9"/>
  <c r="AH8" i="9"/>
  <c r="W18" i="9"/>
  <c r="AA18" i="9"/>
  <c r="AB18" i="9"/>
  <c r="Y18" i="9"/>
  <c r="AG18" i="9"/>
  <c r="AH18" i="9"/>
  <c r="X18" i="9"/>
  <c r="AE22" i="9"/>
  <c r="AD22" i="9"/>
  <c r="AF22" i="9"/>
  <c r="W22" i="9"/>
  <c r="Y22" i="9"/>
  <c r="X22" i="9"/>
  <c r="W26" i="9"/>
  <c r="Z26" i="9"/>
  <c r="AB26" i="9"/>
  <c r="AC26" i="9"/>
  <c r="Z33" i="9"/>
  <c r="W33" i="9"/>
  <c r="AD37" i="9"/>
  <c r="AE37" i="9"/>
  <c r="AA45" i="11"/>
  <c r="X45" i="11"/>
  <c r="V57" i="11"/>
  <c r="AB57" i="9"/>
  <c r="AA57" i="9"/>
  <c r="AG57" i="9"/>
  <c r="Z57" i="9"/>
  <c r="AC57" i="9"/>
  <c r="X57" i="9"/>
  <c r="Y57" i="9"/>
  <c r="AK57" i="9"/>
  <c r="AI57" i="9"/>
  <c r="W57" i="9"/>
  <c r="AH13" i="70"/>
  <c r="B204" i="53" s="1"/>
  <c r="B1649" i="53"/>
  <c r="W18" i="70"/>
  <c r="B1689" i="53" s="1"/>
  <c r="AJ50" i="9"/>
  <c r="AD50" i="9"/>
  <c r="AA50" i="9"/>
  <c r="Z50" i="9"/>
  <c r="X50" i="9"/>
  <c r="AG50" i="9"/>
  <c r="V69" i="11"/>
  <c r="AK69" i="9"/>
  <c r="Y69" i="9"/>
  <c r="AH69" i="9"/>
  <c r="AE69" i="9"/>
  <c r="V69" i="9"/>
  <c r="AJ69" i="9"/>
  <c r="AA69" i="9"/>
  <c r="AG69" i="9"/>
  <c r="X69" i="9"/>
  <c r="AB69" i="9"/>
  <c r="Z69" i="9"/>
  <c r="B2088" i="53"/>
  <c r="B966" i="53"/>
  <c r="B2372" i="53"/>
  <c r="B2107" i="53"/>
  <c r="AH37" i="70"/>
  <c r="B1846" i="53" s="1"/>
  <c r="AH10" i="70"/>
  <c r="AA29" i="11"/>
  <c r="Y43" i="9"/>
  <c r="W43" i="9"/>
  <c r="AD43" i="9"/>
  <c r="V43" i="9"/>
  <c r="V61" i="11"/>
  <c r="AK61" i="9"/>
  <c r="AJ61" i="9"/>
  <c r="AE61" i="9"/>
  <c r="X61" i="9"/>
  <c r="W61" i="9"/>
  <c r="AB61" i="9"/>
  <c r="AF61" i="9"/>
  <c r="Y71" i="11"/>
  <c r="X71" i="11"/>
  <c r="AH22" i="70"/>
  <c r="B320" i="53" s="1"/>
  <c r="AB53" i="70"/>
  <c r="O73" i="1"/>
  <c r="V53" i="70"/>
  <c r="AH42" i="70"/>
  <c r="B900" i="53" s="1"/>
  <c r="V44" i="70"/>
  <c r="H46" i="70"/>
  <c r="H47" i="70"/>
  <c r="P45" i="24"/>
  <c r="R46" i="56"/>
  <c r="O36" i="70"/>
  <c r="B1802" i="53" s="1"/>
  <c r="R18" i="70"/>
  <c r="B1655" i="53" s="1"/>
  <c r="R26" i="70"/>
  <c r="B425" i="53" s="1"/>
  <c r="D425" i="53" s="1"/>
  <c r="R23" i="70"/>
  <c r="B338" i="53" s="1"/>
  <c r="D338" i="53" s="1"/>
  <c r="O22" i="70"/>
  <c r="B306" i="53" s="1"/>
  <c r="D306" i="53" s="1"/>
  <c r="AH32" i="70"/>
  <c r="B1458" i="53" s="1"/>
  <c r="R27" i="70"/>
  <c r="B454" i="53" s="1"/>
  <c r="D454" i="53" s="1"/>
  <c r="R13" i="70"/>
  <c r="B193" i="53" s="1"/>
  <c r="D193" i="53" s="1"/>
  <c r="M47" i="70"/>
  <c r="O47" i="70"/>
  <c r="AG47" i="70"/>
  <c r="R47" i="70"/>
  <c r="S47" i="70"/>
  <c r="AH47" i="70"/>
  <c r="BL93" i="6"/>
  <c r="O67" i="1"/>
  <c r="BV96" i="6"/>
  <c r="BN96" i="6"/>
  <c r="BR94" i="6"/>
  <c r="BJ94" i="6"/>
  <c r="BV92" i="6"/>
  <c r="BN92" i="6"/>
  <c r="O76" i="1"/>
  <c r="O94" i="1"/>
  <c r="O68" i="1"/>
  <c r="O93" i="1"/>
  <c r="O91" i="1"/>
  <c r="O69" i="1"/>
  <c r="O96" i="1"/>
  <c r="O77" i="1"/>
  <c r="O87" i="1"/>
  <c r="O86" i="1"/>
  <c r="O83" i="1"/>
  <c r="O85" i="1"/>
  <c r="O70" i="1"/>
  <c r="O90" i="1"/>
  <c r="O88" i="1"/>
  <c r="O72" i="1"/>
  <c r="BR96" i="6"/>
  <c r="BJ96" i="6"/>
  <c r="BV94" i="6"/>
  <c r="BN94" i="6"/>
  <c r="BR92" i="6"/>
  <c r="BJ92" i="6"/>
  <c r="O74" i="1"/>
  <c r="O84" i="1"/>
  <c r="O71" i="1"/>
  <c r="BE96" i="6"/>
  <c r="BE95" i="6"/>
  <c r="BE94" i="6"/>
  <c r="BE93" i="6"/>
  <c r="BE92" i="6"/>
  <c r="BU96" i="6"/>
  <c r="BQ96" i="6"/>
  <c r="BM96" i="6"/>
  <c r="BW95" i="6"/>
  <c r="BS95" i="6"/>
  <c r="BO95" i="6"/>
  <c r="BK95" i="6"/>
  <c r="BU94" i="6"/>
  <c r="BQ94" i="6"/>
  <c r="BM94" i="6"/>
  <c r="BW93" i="6"/>
  <c r="BS93" i="6"/>
  <c r="BO93" i="6"/>
  <c r="BK93" i="6"/>
  <c r="BU92" i="6"/>
  <c r="BQ92" i="6"/>
  <c r="BM92" i="6"/>
  <c r="BG96" i="6"/>
  <c r="BG95" i="6"/>
  <c r="BG94" i="6"/>
  <c r="BG93" i="6"/>
  <c r="BG92" i="6"/>
  <c r="BV95" i="6"/>
  <c r="BR95" i="6"/>
  <c r="BN95" i="6"/>
  <c r="BJ95" i="6"/>
  <c r="BT94" i="6"/>
  <c r="BP94" i="6"/>
  <c r="BV93" i="6"/>
  <c r="BR93" i="6"/>
  <c r="BN93" i="6"/>
  <c r="BJ93" i="6"/>
  <c r="BT92" i="6"/>
  <c r="BL92" i="6"/>
  <c r="BS96" i="6"/>
  <c r="BO96" i="6"/>
  <c r="BK96" i="6"/>
  <c r="BU95" i="6"/>
  <c r="BQ95" i="6"/>
  <c r="BM95" i="6"/>
  <c r="BW94" i="6"/>
  <c r="BS94" i="6"/>
  <c r="BO94" i="6"/>
  <c r="BK94" i="6"/>
  <c r="BU93" i="6"/>
  <c r="BQ93" i="6"/>
  <c r="BM93" i="6"/>
  <c r="BW92" i="6"/>
  <c r="BS92" i="6"/>
  <c r="BO92" i="6"/>
  <c r="BK92" i="6"/>
  <c r="B560" i="53"/>
  <c r="B1377" i="53"/>
  <c r="W31" i="70"/>
  <c r="V31" i="70"/>
  <c r="B1407" i="53"/>
  <c r="V33" i="70"/>
  <c r="B618" i="53"/>
  <c r="B1497" i="53"/>
  <c r="B1556" i="53"/>
  <c r="W33" i="70"/>
  <c r="B1511" i="53" s="1"/>
  <c r="V21" i="70"/>
  <c r="B1318" i="53"/>
  <c r="B2726" i="53"/>
  <c r="B951" i="53"/>
  <c r="B1258" i="53"/>
  <c r="B2426" i="53"/>
  <c r="V35" i="70"/>
  <c r="V22" i="70"/>
  <c r="W30" i="70"/>
  <c r="B1332" i="53" s="1"/>
  <c r="B1154" i="53"/>
  <c r="B36" i="53"/>
  <c r="B2502" i="53"/>
  <c r="W25" i="70"/>
  <c r="B400" i="53" s="1"/>
  <c r="M28" i="70"/>
  <c r="S28" i="56"/>
  <c r="M31" i="24"/>
  <c r="R36" i="56"/>
  <c r="S11" i="70"/>
  <c r="AK11" i="25"/>
  <c r="AN11" i="25" s="1"/>
  <c r="BA107" i="102"/>
  <c r="BA110" i="102"/>
  <c r="S43" i="70"/>
  <c r="B1954" i="53" s="1"/>
  <c r="D1954" i="53" s="1"/>
  <c r="R53" i="56"/>
  <c r="P38" i="24"/>
  <c r="AJ40" i="25"/>
  <c r="AM40" i="25" s="1"/>
  <c r="R41" i="70"/>
  <c r="B860" i="53" s="1"/>
  <c r="R48" i="56"/>
  <c r="R8" i="70"/>
  <c r="AJ8" i="25"/>
  <c r="AM8" i="25" s="1"/>
  <c r="B1664" i="53"/>
  <c r="B2672" i="53"/>
  <c r="BT46" i="17"/>
  <c r="BS46" i="17" s="1"/>
  <c r="BX46" i="17" s="1"/>
  <c r="BU46" i="17"/>
  <c r="BW51" i="17"/>
  <c r="AH52" i="70" s="1"/>
  <c r="B1190" i="53" s="1"/>
  <c r="B777" i="53"/>
  <c r="B1839" i="53"/>
  <c r="J75" i="31"/>
  <c r="J72" i="31"/>
  <c r="L25" i="31"/>
  <c r="V32" i="70"/>
  <c r="B2532" i="53"/>
  <c r="B2175" i="53"/>
  <c r="B767" i="53"/>
  <c r="AI33" i="9"/>
  <c r="AF33" i="9"/>
  <c r="AK37" i="9"/>
  <c r="W37" i="9"/>
  <c r="AK50" i="9"/>
  <c r="V50" i="9"/>
  <c r="Y50" i="9"/>
  <c r="AC50" i="9"/>
  <c r="AF50" i="9"/>
  <c r="AE50" i="9"/>
  <c r="AB50" i="9"/>
  <c r="W50" i="9"/>
  <c r="V50" i="11"/>
  <c r="V37" i="70"/>
  <c r="W23" i="70"/>
  <c r="B342" i="53" s="1"/>
  <c r="Z23" i="9"/>
  <c r="Y23" i="9"/>
  <c r="AF23" i="9"/>
  <c r="AB27" i="9"/>
  <c r="V27" i="9"/>
  <c r="W47" i="9"/>
  <c r="Z47" i="9"/>
  <c r="AE47" i="9"/>
  <c r="AI47" i="9"/>
  <c r="V47" i="11"/>
  <c r="AI62" i="9"/>
  <c r="AA62" i="9"/>
  <c r="AK62" i="9"/>
  <c r="AH62" i="9"/>
  <c r="V62" i="11"/>
  <c r="Z16" i="9"/>
  <c r="V16" i="11"/>
  <c r="AA16" i="11" s="1"/>
  <c r="AB16" i="9"/>
  <c r="AE16" i="9"/>
  <c r="AI16" i="9"/>
  <c r="V16" i="9"/>
  <c r="AH39" i="11"/>
  <c r="V59" i="11"/>
  <c r="AI59" i="9"/>
  <c r="AG59" i="9"/>
  <c r="AK59" i="9"/>
  <c r="B2044" i="53"/>
  <c r="W14" i="70"/>
  <c r="B226" i="53" s="1"/>
  <c r="AJ23" i="11"/>
  <c r="AB5" i="9"/>
  <c r="Z5" i="9"/>
  <c r="AF5" i="9"/>
  <c r="X14" i="9"/>
  <c r="AE14" i="9"/>
  <c r="AG14" i="9"/>
  <c r="V14" i="9"/>
  <c r="Y53" i="9"/>
  <c r="AF53" i="9"/>
  <c r="V53" i="11"/>
  <c r="V66" i="9"/>
  <c r="AE66" i="9"/>
  <c r="AF66" i="9"/>
  <c r="Z66" i="9"/>
  <c r="AD66" i="9"/>
  <c r="O46" i="70"/>
  <c r="B2868" i="53" s="1"/>
  <c r="S46" i="70"/>
  <c r="B2872" i="53" s="1"/>
  <c r="R46" i="70"/>
  <c r="B2871" i="53" s="1"/>
  <c r="AA58" i="9"/>
  <c r="AD41" i="9"/>
  <c r="AF36" i="9"/>
  <c r="Z36" i="9"/>
  <c r="X58" i="9"/>
  <c r="X39" i="9"/>
  <c r="AC39" i="9"/>
  <c r="AD65" i="9"/>
  <c r="H24" i="70"/>
  <c r="H50" i="70"/>
  <c r="H41" i="70"/>
  <c r="H31" i="70"/>
  <c r="W38" i="70"/>
  <c r="AF58" i="9"/>
  <c r="X41" i="9"/>
  <c r="AJ36" i="9"/>
  <c r="AG36" i="9"/>
  <c r="AE41" i="9"/>
  <c r="AF39" i="9"/>
  <c r="AB65" i="9"/>
  <c r="H25" i="70"/>
  <c r="H22" i="70"/>
  <c r="H10" i="70"/>
  <c r="V65" i="11"/>
  <c r="H16" i="70"/>
  <c r="H15" i="70"/>
  <c r="H52" i="70"/>
  <c r="H53" i="70"/>
  <c r="AI56" i="11"/>
  <c r="AH56" i="11"/>
  <c r="AD56" i="11"/>
  <c r="AJ56" i="11"/>
  <c r="AC56" i="11"/>
  <c r="AA56" i="11"/>
  <c r="AF56" i="11"/>
  <c r="AE56" i="11"/>
  <c r="AG56" i="11"/>
  <c r="Y56" i="11"/>
  <c r="AK56" i="11"/>
  <c r="Z56" i="11"/>
  <c r="AC33" i="11"/>
  <c r="AD33" i="11"/>
  <c r="X33" i="11"/>
  <c r="Z33" i="11"/>
  <c r="AF33" i="11"/>
  <c r="AI33" i="11"/>
  <c r="W33" i="11"/>
  <c r="AK33" i="11"/>
  <c r="AB33" i="11"/>
  <c r="I34" i="31"/>
  <c r="AJ33" i="11"/>
  <c r="AG33" i="11"/>
  <c r="B922" i="53"/>
  <c r="B2015" i="53"/>
  <c r="B2218" i="53"/>
  <c r="B2546" i="53"/>
  <c r="AI67" i="11"/>
  <c r="AJ67" i="11"/>
  <c r="AG67" i="11"/>
  <c r="I68" i="31"/>
  <c r="AF67" i="11"/>
  <c r="AC67" i="11"/>
  <c r="J24" i="31"/>
  <c r="L24" i="31"/>
  <c r="AD67" i="11"/>
  <c r="B1600" i="53"/>
  <c r="B661" i="53"/>
  <c r="K24" i="31"/>
  <c r="K57" i="31"/>
  <c r="AE21" i="11"/>
  <c r="AF21" i="11"/>
  <c r="AG21" i="11"/>
  <c r="K47" i="31"/>
  <c r="L47" i="31"/>
  <c r="J47" i="31"/>
  <c r="AH46" i="11"/>
  <c r="W46" i="11"/>
  <c r="AC46" i="11"/>
  <c r="AB46" i="11"/>
  <c r="AF46" i="11"/>
  <c r="AE46" i="11"/>
  <c r="AA46" i="11"/>
  <c r="X46" i="11"/>
  <c r="AJ46" i="11"/>
  <c r="AK46" i="11"/>
  <c r="AD46" i="11"/>
  <c r="AG46" i="11"/>
  <c r="Y35" i="11"/>
  <c r="Z7" i="9"/>
  <c r="AK7" i="9"/>
  <c r="AG7" i="9"/>
  <c r="AB10" i="9"/>
  <c r="AE10" i="9"/>
  <c r="W10" i="9"/>
  <c r="AD10" i="9"/>
  <c r="AI10" i="9"/>
  <c r="AC10" i="9"/>
  <c r="AF13" i="9"/>
  <c r="AB13" i="9"/>
  <c r="AJ13" i="9"/>
  <c r="AK13" i="9"/>
  <c r="AD13" i="9"/>
  <c r="X13" i="9"/>
  <c r="AE13" i="9"/>
  <c r="AI13" i="9"/>
  <c r="V13" i="11"/>
  <c r="AG13" i="9"/>
  <c r="AG36" i="11"/>
  <c r="AE19" i="9"/>
  <c r="V10" i="9"/>
  <c r="Z10" i="9"/>
  <c r="AJ7" i="9"/>
  <c r="V7" i="11"/>
  <c r="V50" i="70"/>
  <c r="B1705" i="53"/>
  <c r="B2472" i="53"/>
  <c r="B1735" i="53"/>
  <c r="AC13" i="9"/>
  <c r="V23" i="70"/>
  <c r="AK10" i="9"/>
  <c r="AF15" i="11"/>
  <c r="AC15" i="11"/>
  <c r="AA13" i="9"/>
  <c r="X60" i="11"/>
  <c r="AA60" i="11"/>
  <c r="W13" i="9"/>
  <c r="B2596" i="53"/>
  <c r="B2626" i="53"/>
  <c r="B2921" i="53"/>
  <c r="B2891" i="53"/>
  <c r="B21" i="53"/>
  <c r="V13" i="9"/>
  <c r="AJ19" i="9"/>
  <c r="V12" i="70"/>
  <c r="W12" i="70"/>
  <c r="B168" i="53" s="1"/>
  <c r="AH36" i="11"/>
  <c r="AA10" i="9"/>
  <c r="AG10" i="9"/>
  <c r="AD7" i="9"/>
  <c r="B1441" i="53"/>
  <c r="V26" i="70"/>
  <c r="W26" i="70"/>
  <c r="B429" i="53" s="1"/>
  <c r="B593" i="53"/>
  <c r="B1111" i="53"/>
  <c r="AI7" i="9"/>
  <c r="X7" i="9"/>
  <c r="AD19" i="9"/>
  <c r="AA12" i="11"/>
  <c r="AK12" i="11"/>
  <c r="Y12" i="11"/>
  <c r="Z12" i="11"/>
  <c r="AH12" i="11"/>
  <c r="B328" i="53"/>
  <c r="Z13" i="9"/>
  <c r="AG19" i="9"/>
  <c r="AF19" i="9"/>
  <c r="X19" i="9"/>
  <c r="AC19" i="9"/>
  <c r="V19" i="9"/>
  <c r="AH19" i="9"/>
  <c r="AA19" i="9"/>
  <c r="AK19" i="9"/>
  <c r="W19" i="9"/>
  <c r="AB19" i="9"/>
  <c r="B2486" i="53"/>
  <c r="AH13" i="9"/>
  <c r="V19" i="11"/>
  <c r="AK36" i="11"/>
  <c r="AF10" i="9"/>
  <c r="Y10" i="9"/>
  <c r="X10" i="9"/>
  <c r="AA7" i="9"/>
  <c r="V45" i="70"/>
  <c r="W35" i="70"/>
  <c r="AF7" i="9"/>
  <c r="V7" i="9"/>
  <c r="AB7" i="9"/>
  <c r="Y7" i="9"/>
  <c r="AJ10" i="9"/>
  <c r="Y22" i="11"/>
  <c r="AE22" i="11"/>
  <c r="AD22" i="11"/>
  <c r="AK22" i="11"/>
  <c r="AB22" i="11"/>
  <c r="AA22" i="11"/>
  <c r="AH22" i="11"/>
  <c r="I22" i="31"/>
  <c r="AI4" i="11"/>
  <c r="Y4" i="11"/>
  <c r="V37" i="11"/>
  <c r="AJ37" i="9"/>
  <c r="AC37" i="9"/>
  <c r="AF37" i="9"/>
  <c r="Z37" i="9"/>
  <c r="AG37" i="9"/>
  <c r="AI37" i="9"/>
  <c r="B2802" i="53"/>
  <c r="B2772" i="53"/>
  <c r="W52" i="70"/>
  <c r="B109" i="53" s="1"/>
  <c r="B1903" i="53"/>
  <c r="B2049" i="53"/>
  <c r="O97" i="1"/>
  <c r="O66" i="1"/>
  <c r="O81" i="1"/>
  <c r="O95" i="1"/>
  <c r="O98" i="1"/>
  <c r="O99" i="1"/>
  <c r="AE4" i="11"/>
  <c r="AF4" i="11"/>
  <c r="AC4" i="11"/>
  <c r="AK29" i="11"/>
  <c r="I29" i="31"/>
  <c r="AB25" i="9"/>
  <c r="AI25" i="9"/>
  <c r="AD25" i="9"/>
  <c r="V25" i="9"/>
  <c r="AJ52" i="9"/>
  <c r="AA52" i="9"/>
  <c r="AB36" i="9"/>
  <c r="V59" i="9"/>
  <c r="AA33" i="9"/>
  <c r="X59" i="9"/>
  <c r="AJ59" i="9"/>
  <c r="AA59" i="9"/>
  <c r="X43" i="9"/>
  <c r="AG43" i="9"/>
  <c r="AK18" i="9"/>
  <c r="V18" i="9"/>
  <c r="Z18" i="9"/>
  <c r="AI18" i="9"/>
  <c r="Y27" i="9"/>
  <c r="AG22" i="9"/>
  <c r="AJ66" i="9"/>
  <c r="AA66" i="9"/>
  <c r="V27" i="11"/>
  <c r="B1976" i="53"/>
  <c r="B883" i="53"/>
  <c r="AH16" i="9"/>
  <c r="AJ16" i="9"/>
  <c r="AK40" i="9"/>
  <c r="AC40" i="9"/>
  <c r="Z40" i="9"/>
  <c r="W40" i="9"/>
  <c r="AA30" i="9"/>
  <c r="AJ30" i="9"/>
  <c r="AD30" i="9"/>
  <c r="AG33" i="9"/>
  <c r="V43" i="11"/>
  <c r="AH43" i="9"/>
  <c r="AB43" i="9"/>
  <c r="AC43" i="9"/>
  <c r="AK43" i="9"/>
  <c r="AF43" i="9"/>
  <c r="AA43" i="9"/>
  <c r="AI43" i="9"/>
  <c r="V49" i="11"/>
  <c r="AG45" i="70"/>
  <c r="B2612" i="53" s="1"/>
  <c r="W53" i="70"/>
  <c r="B2566" i="53"/>
  <c r="B2536" i="53"/>
  <c r="V18" i="11"/>
  <c r="AF18" i="9"/>
  <c r="AE18" i="9"/>
  <c r="AC18" i="9"/>
  <c r="AD18" i="9"/>
  <c r="AB22" i="9"/>
  <c r="AH22" i="9"/>
  <c r="AI22" i="9"/>
  <c r="Z22" i="9"/>
  <c r="V22" i="9"/>
  <c r="AA22" i="9"/>
  <c r="AJ22" i="9"/>
  <c r="AI28" i="9"/>
  <c r="V28" i="9"/>
  <c r="AE36" i="9"/>
  <c r="AA36" i="9"/>
  <c r="AF59" i="9"/>
  <c r="W59" i="9"/>
  <c r="AB59" i="9"/>
  <c r="AC59" i="9"/>
  <c r="AE59" i="9"/>
  <c r="Z59" i="9"/>
  <c r="X62" i="9"/>
  <c r="AG62" i="9"/>
  <c r="AE62" i="9"/>
  <c r="V66" i="11"/>
  <c r="AK66" i="9"/>
  <c r="W66" i="9"/>
  <c r="AB66" i="9"/>
  <c r="AG66" i="9"/>
  <c r="AI66" i="9"/>
  <c r="AH66" i="9"/>
  <c r="AC66" i="9"/>
  <c r="X66" i="9"/>
  <c r="B724" i="53"/>
  <c r="B1724" i="53"/>
  <c r="V52" i="70"/>
  <c r="B26" i="53"/>
  <c r="B1043" i="53"/>
  <c r="B2701" i="53"/>
  <c r="W65" i="9"/>
  <c r="K45" i="24"/>
  <c r="L45" i="24" s="1"/>
  <c r="R45" i="24" s="1"/>
  <c r="M51" i="70"/>
  <c r="N51" i="70" s="1"/>
  <c r="B2181" i="53" s="1"/>
  <c r="R31" i="56"/>
  <c r="M14" i="70"/>
  <c r="N14" i="70" s="1"/>
  <c r="M61" i="56"/>
  <c r="N61" i="56" s="1"/>
  <c r="U61" i="56" s="1"/>
  <c r="O52" i="70"/>
  <c r="B2779" i="53" s="1"/>
  <c r="O16" i="70"/>
  <c r="B1060" i="53" s="1"/>
  <c r="AG52" i="70"/>
  <c r="B2822" i="53" s="1"/>
  <c r="S7" i="70"/>
  <c r="B1210" i="53" s="1"/>
  <c r="O49" i="24"/>
  <c r="O29" i="56"/>
  <c r="K36" i="24"/>
  <c r="L36" i="24" s="1"/>
  <c r="R36" i="24" s="1"/>
  <c r="P32" i="56"/>
  <c r="R68" i="56"/>
  <c r="M23" i="24"/>
  <c r="R18" i="56"/>
  <c r="O78" i="56"/>
  <c r="P49" i="24"/>
  <c r="O57" i="56"/>
  <c r="M14" i="24"/>
  <c r="Q65" i="56"/>
  <c r="S27" i="56"/>
  <c r="R79" i="56"/>
  <c r="I69" i="1"/>
  <c r="N69" i="1" s="1"/>
  <c r="R67" i="56"/>
  <c r="Q77" i="56"/>
  <c r="S30" i="56"/>
  <c r="S47" i="56"/>
  <c r="P18" i="24"/>
  <c r="K23" i="24"/>
  <c r="L23" i="24" s="1"/>
  <c r="R23" i="24" s="1"/>
  <c r="O26" i="56"/>
  <c r="R11" i="70"/>
  <c r="I67" i="1"/>
  <c r="R42" i="70"/>
  <c r="B1982" i="53" s="1"/>
  <c r="P8" i="56"/>
  <c r="O6" i="56"/>
  <c r="M30" i="24"/>
  <c r="R27" i="56"/>
  <c r="P42" i="56"/>
  <c r="R28" i="56"/>
  <c r="P18" i="56"/>
  <c r="P79" i="56"/>
  <c r="O18" i="56"/>
  <c r="P73" i="56"/>
  <c r="I90" i="1"/>
  <c r="K14" i="24"/>
  <c r="O11" i="56"/>
  <c r="R37" i="56"/>
  <c r="R14" i="70"/>
  <c r="B222" i="53" s="1"/>
  <c r="I85" i="1"/>
  <c r="N85" i="1" s="1"/>
  <c r="Q7" i="56"/>
  <c r="M35" i="24"/>
  <c r="O9" i="56"/>
  <c r="R50" i="56"/>
  <c r="Q57" i="56"/>
  <c r="M44" i="56"/>
  <c r="N44" i="56" s="1"/>
  <c r="U44" i="56" s="1"/>
  <c r="O71" i="56"/>
  <c r="O41" i="24"/>
  <c r="I66" i="1"/>
  <c r="M71" i="56"/>
  <c r="N71" i="56" s="1"/>
  <c r="U71" i="56" s="1"/>
  <c r="K8" i="24"/>
  <c r="S73" i="56"/>
  <c r="O70" i="56"/>
  <c r="R62" i="56"/>
  <c r="AG41" i="70"/>
  <c r="B1934" i="53" s="1"/>
  <c r="I84" i="1"/>
  <c r="N84" i="1" s="1"/>
  <c r="Q8" i="56"/>
  <c r="O16" i="24"/>
  <c r="K16" i="24"/>
  <c r="P27" i="24"/>
  <c r="R36" i="70"/>
  <c r="B1805" i="53" s="1"/>
  <c r="Q39" i="56"/>
  <c r="R43" i="56"/>
  <c r="P37" i="24"/>
  <c r="AG46" i="70"/>
  <c r="B2851" i="53" s="1"/>
  <c r="O45" i="70"/>
  <c r="B2629" i="53" s="1"/>
  <c r="B2762" i="53"/>
  <c r="Q55" i="56"/>
  <c r="O60" i="56"/>
  <c r="O24" i="70"/>
  <c r="B364" i="53" s="1"/>
  <c r="D364" i="53" s="1"/>
  <c r="O39" i="56"/>
  <c r="M32" i="24"/>
  <c r="P26" i="56"/>
  <c r="M7" i="56"/>
  <c r="N7" i="56" s="1"/>
  <c r="R75" i="56"/>
  <c r="S8" i="56"/>
  <c r="R76" i="56"/>
  <c r="N34" i="24"/>
  <c r="P8" i="24"/>
  <c r="AG53" i="70"/>
  <c r="B2941" i="53" s="1"/>
  <c r="AH46" i="70"/>
  <c r="B2852" i="53" s="1"/>
  <c r="O53" i="70"/>
  <c r="B2928" i="53" s="1"/>
  <c r="S45" i="70"/>
  <c r="I86" i="1"/>
  <c r="N86" i="1" s="1"/>
  <c r="R51" i="70"/>
  <c r="B2185" i="53" s="1"/>
  <c r="D2185" i="53" s="1"/>
  <c r="S17" i="70"/>
  <c r="B2012" i="53" s="1"/>
  <c r="D2012" i="53" s="1"/>
  <c r="O33" i="70"/>
  <c r="B1563" i="53" s="1"/>
  <c r="D1563" i="53" s="1"/>
  <c r="R52" i="56"/>
  <c r="K30" i="24"/>
  <c r="L30" i="24" s="1"/>
  <c r="AH20" i="70"/>
  <c r="S52" i="70"/>
  <c r="B1180" i="53" s="1"/>
  <c r="S16" i="70"/>
  <c r="B1064" i="53" s="1"/>
  <c r="O15" i="70"/>
  <c r="AH16" i="70"/>
  <c r="B2733" i="53" s="1"/>
  <c r="R45" i="70"/>
  <c r="B2632" i="53" s="1"/>
  <c r="AH27" i="70"/>
  <c r="B465" i="53" s="1"/>
  <c r="AH17" i="70"/>
  <c r="B929" i="53" s="1"/>
  <c r="AH29" i="70"/>
  <c r="B1279" i="53" s="1"/>
  <c r="R40" i="70"/>
  <c r="B831" i="53" s="1"/>
  <c r="D831" i="53" s="1"/>
  <c r="M9" i="70"/>
  <c r="N9" i="70" s="1"/>
  <c r="O48" i="56"/>
  <c r="M36" i="70"/>
  <c r="N36" i="70" s="1"/>
  <c r="M18" i="70"/>
  <c r="B1650" i="53" s="1"/>
  <c r="S38" i="56"/>
  <c r="O51" i="70"/>
  <c r="B2569" i="53" s="1"/>
  <c r="M43" i="70"/>
  <c r="B1889" i="53" s="1"/>
  <c r="K24" i="24"/>
  <c r="AH45" i="70"/>
  <c r="B2613" i="53" s="1"/>
  <c r="K44" i="24"/>
  <c r="L44" i="24" s="1"/>
  <c r="R44" i="24" s="1"/>
  <c r="R15" i="70"/>
  <c r="B2662" i="53" s="1"/>
  <c r="D2662" i="53" s="1"/>
  <c r="AH15" i="70"/>
  <c r="AH53" i="70"/>
  <c r="B2942" i="53" s="1"/>
  <c r="AH24" i="70"/>
  <c r="B378" i="53" s="1"/>
  <c r="AH28" i="70"/>
  <c r="B494" i="53" s="1"/>
  <c r="AH26" i="70"/>
  <c r="B436" i="53" s="1"/>
  <c r="AH38" i="70"/>
  <c r="B1876" i="53" s="1"/>
  <c r="AH11" i="70"/>
  <c r="AH18" i="70"/>
  <c r="B1666" i="53" s="1"/>
  <c r="AH12" i="70"/>
  <c r="B175" i="53" s="1"/>
  <c r="I87" i="1"/>
  <c r="M34" i="56"/>
  <c r="N34" i="56" s="1"/>
  <c r="U34" i="56" s="1"/>
  <c r="AH49" i="70"/>
  <c r="M13" i="70"/>
  <c r="B188" i="53" s="1"/>
  <c r="O61" i="56"/>
  <c r="M44" i="70"/>
  <c r="N44" i="70" s="1"/>
  <c r="B2359" i="53" s="1"/>
  <c r="AH34" i="70"/>
  <c r="B1607" i="53" s="1"/>
  <c r="R52" i="70"/>
  <c r="B2812" i="53" s="1"/>
  <c r="R16" i="70"/>
  <c r="B1150" i="53" s="1"/>
  <c r="R53" i="70"/>
  <c r="B1121" i="53" s="1"/>
  <c r="AB8" i="70"/>
  <c r="AB13" i="70"/>
  <c r="B201" i="53" s="1"/>
  <c r="AB12" i="70"/>
  <c r="B172" i="53" s="1"/>
  <c r="AB31" i="70"/>
  <c r="B578" i="53" s="1"/>
  <c r="AB27" i="70"/>
  <c r="B462" i="53" s="1"/>
  <c r="AB23" i="70"/>
  <c r="B346" i="53" s="1"/>
  <c r="AB17" i="70"/>
  <c r="B2222" i="53" s="1"/>
  <c r="AB37" i="70"/>
  <c r="B781" i="53" s="1"/>
  <c r="AB44" i="70"/>
  <c r="B2401" i="53" s="1"/>
  <c r="B2760" i="53"/>
  <c r="Z27" i="24"/>
  <c r="AB40" i="70"/>
  <c r="AB34" i="70"/>
  <c r="B1634" i="53" s="1"/>
  <c r="AB15" i="70"/>
  <c r="B2670" i="53" s="1"/>
  <c r="AB7" i="70"/>
  <c r="AB20" i="70"/>
  <c r="AB52" i="70"/>
  <c r="B1187" i="53" s="1"/>
  <c r="AG25" i="56"/>
  <c r="AG24" i="56" s="1"/>
  <c r="AG80" i="56" s="1"/>
  <c r="Z41" i="24"/>
  <c r="AG45" i="56"/>
  <c r="Z30" i="24"/>
  <c r="AG52" i="56"/>
  <c r="AB35" i="70"/>
  <c r="B723" i="53" s="1"/>
  <c r="AB18" i="70"/>
  <c r="B694" i="53" s="1"/>
  <c r="AB38" i="70"/>
  <c r="B810" i="53" s="1"/>
  <c r="AB14" i="70"/>
  <c r="B230" i="53" s="1"/>
  <c r="AB32" i="70"/>
  <c r="B607" i="53" s="1"/>
  <c r="AB10" i="70"/>
  <c r="B1574" i="53"/>
  <c r="B636" i="53"/>
  <c r="B1783" i="53"/>
  <c r="B549" i="53"/>
  <c r="B1336" i="53"/>
  <c r="Z17" i="24"/>
  <c r="Z52" i="24" s="1"/>
  <c r="AB51" i="70"/>
  <c r="B2580" i="53" s="1"/>
  <c r="AB49" i="70"/>
  <c r="B1961" i="53"/>
  <c r="B2048" i="53"/>
  <c r="B2252" i="53"/>
  <c r="B1902" i="53"/>
  <c r="B955" i="53"/>
  <c r="B2282" i="53"/>
  <c r="B288" i="53"/>
  <c r="B520" i="53"/>
  <c r="B1276" i="53"/>
  <c r="B1306" i="53"/>
  <c r="AB50" i="70"/>
  <c r="B868" i="53"/>
  <c r="B1990" i="53"/>
  <c r="B1813" i="53"/>
  <c r="AJ44" i="25"/>
  <c r="AM44" i="25" s="1"/>
  <c r="AK44" i="25"/>
  <c r="AN44" i="25" s="1"/>
  <c r="O38" i="70"/>
  <c r="B799" i="53" s="1"/>
  <c r="D799" i="53" s="1"/>
  <c r="AK8" i="25"/>
  <c r="AN8" i="25" s="1"/>
  <c r="AK10" i="25"/>
  <c r="AN10" i="25" s="1"/>
  <c r="AK36" i="25"/>
  <c r="AN36" i="25" s="1"/>
  <c r="AP36" i="25" s="1"/>
  <c r="X37" i="70" s="1"/>
  <c r="AK34" i="25"/>
  <c r="AN34" i="25" s="1"/>
  <c r="AK37" i="25"/>
  <c r="AN37" i="25" s="1"/>
  <c r="AP37" i="25" s="1"/>
  <c r="X38" i="70" s="1"/>
  <c r="AK24" i="25"/>
  <c r="AN24" i="25" s="1"/>
  <c r="AJ27" i="25"/>
  <c r="AM27" i="25" s="1"/>
  <c r="M52" i="56"/>
  <c r="N52" i="56" s="1"/>
  <c r="U52" i="56" s="1"/>
  <c r="BT40" i="17"/>
  <c r="BS40" i="17" s="1"/>
  <c r="P41" i="70" s="1"/>
  <c r="B1922" i="53" s="1"/>
  <c r="AK14" i="25"/>
  <c r="AN14" i="25" s="1"/>
  <c r="S33" i="70"/>
  <c r="B1508" i="53" s="1"/>
  <c r="D1508" i="53" s="1"/>
  <c r="BU32" i="17"/>
  <c r="M38" i="70"/>
  <c r="B797" i="53" s="1"/>
  <c r="BT10" i="17"/>
  <c r="Q11" i="70" s="1"/>
  <c r="BT42" i="17"/>
  <c r="Q43" i="70" s="1"/>
  <c r="B946" i="53" s="1"/>
  <c r="D946" i="53" s="1"/>
  <c r="BT49" i="17"/>
  <c r="Q50" i="70" s="1"/>
  <c r="B2155" i="53" s="1"/>
  <c r="BT41" i="17"/>
  <c r="Q53" i="56" s="1"/>
  <c r="BT48" i="17"/>
  <c r="BS48" i="17" s="1"/>
  <c r="P10" i="56" s="1"/>
  <c r="BT7" i="17"/>
  <c r="O40" i="24" s="1"/>
  <c r="BU23" i="17"/>
  <c r="M42" i="70"/>
  <c r="B1977" i="53" s="1"/>
  <c r="AJ51" i="25"/>
  <c r="AM51" i="25" s="1"/>
  <c r="AJ13" i="25"/>
  <c r="AM13" i="25" s="1"/>
  <c r="AJ33" i="25"/>
  <c r="AM33" i="25" s="1"/>
  <c r="I89" i="1"/>
  <c r="N89" i="1" s="1"/>
  <c r="M48" i="56"/>
  <c r="N48" i="56" s="1"/>
  <c r="AK35" i="25"/>
  <c r="AN35" i="25" s="1"/>
  <c r="AJ35" i="25"/>
  <c r="AM35" i="25" s="1"/>
  <c r="AK41" i="25"/>
  <c r="AN41" i="25" s="1"/>
  <c r="AK51" i="25"/>
  <c r="AN51" i="25" s="1"/>
  <c r="S32" i="70"/>
  <c r="B600" i="53" s="1"/>
  <c r="K37" i="24"/>
  <c r="L37" i="24" s="1"/>
  <c r="R37" i="24" s="1"/>
  <c r="I94" i="1"/>
  <c r="N94" i="1" s="1"/>
  <c r="AJ10" i="25"/>
  <c r="AM10" i="25" s="1"/>
  <c r="AJ34" i="25"/>
  <c r="AM34" i="25" s="1"/>
  <c r="AK27" i="25"/>
  <c r="AN27" i="25" s="1"/>
  <c r="AJ14" i="25"/>
  <c r="AM14" i="25" s="1"/>
  <c r="M29" i="70"/>
  <c r="N29" i="70" s="1"/>
  <c r="B508" i="53" s="1"/>
  <c r="S52" i="56"/>
  <c r="BT19" i="17"/>
  <c r="Q20" i="70" s="1"/>
  <c r="B250" i="53" s="1"/>
  <c r="AJ24" i="25"/>
  <c r="AM24" i="25" s="1"/>
  <c r="AJ50" i="25"/>
  <c r="AM50" i="25" s="1"/>
  <c r="S37" i="70"/>
  <c r="B774" i="53" s="1"/>
  <c r="BT50" i="17"/>
  <c r="Q51" i="70" s="1"/>
  <c r="B2571" i="53" s="1"/>
  <c r="D3107" i="53"/>
  <c r="S42" i="70"/>
  <c r="B890" i="53" s="1"/>
  <c r="AJ41" i="25"/>
  <c r="AM41" i="25" s="1"/>
  <c r="K40" i="24"/>
  <c r="D3109" i="53"/>
  <c r="AK33" i="25"/>
  <c r="AN33" i="25" s="1"/>
  <c r="AJ23" i="25"/>
  <c r="AM23" i="25" s="1"/>
  <c r="M59" i="56"/>
  <c r="N59" i="56" s="1"/>
  <c r="U59" i="56" s="1"/>
  <c r="S8" i="70"/>
  <c r="I95" i="1"/>
  <c r="N95" i="1" s="1"/>
  <c r="S48" i="56"/>
  <c r="S18" i="70"/>
  <c r="B687" i="53" s="1"/>
  <c r="M53" i="56"/>
  <c r="N53" i="56" s="1"/>
  <c r="U53" i="56" s="1"/>
  <c r="S53" i="56"/>
  <c r="BU44" i="17"/>
  <c r="BU40" i="17"/>
  <c r="S29" i="70"/>
  <c r="B513" i="53" s="1"/>
  <c r="BU25" i="17"/>
  <c r="D3110" i="53"/>
  <c r="S40" i="70"/>
  <c r="B832" i="53" s="1"/>
  <c r="D832" i="53" s="1"/>
  <c r="S59" i="56"/>
  <c r="D2332" i="53"/>
  <c r="D3020" i="53"/>
  <c r="AK31" i="25"/>
  <c r="AN31" i="25" s="1"/>
  <c r="AJ31" i="25"/>
  <c r="AM31" i="25" s="1"/>
  <c r="AK30" i="25"/>
  <c r="AN30" i="25" s="1"/>
  <c r="AJ30" i="25"/>
  <c r="AM30" i="25" s="1"/>
  <c r="M34" i="70"/>
  <c r="B1621" i="53" s="1"/>
  <c r="AK32" i="25"/>
  <c r="AN32" i="25" s="1"/>
  <c r="AJ32" i="25"/>
  <c r="AM32" i="25" s="1"/>
  <c r="AJ28" i="25"/>
  <c r="AM28" i="25" s="1"/>
  <c r="AK28" i="25"/>
  <c r="AN28" i="25" s="1"/>
  <c r="M31" i="70"/>
  <c r="B565" i="53" s="1"/>
  <c r="AJ29" i="25"/>
  <c r="AM29" i="25" s="1"/>
  <c r="AK29" i="25"/>
  <c r="AN29" i="25" s="1"/>
  <c r="BT28" i="17"/>
  <c r="O44" i="24" s="1"/>
  <c r="D3111" i="53"/>
  <c r="S37" i="56"/>
  <c r="D2304" i="53"/>
  <c r="AK13" i="25"/>
  <c r="AN13" i="25" s="1"/>
  <c r="AK50" i="25"/>
  <c r="AN50" i="25" s="1"/>
  <c r="S21" i="70"/>
  <c r="B281" i="53" s="1"/>
  <c r="D281" i="53" s="1"/>
  <c r="D3047" i="53"/>
  <c r="AK23" i="25"/>
  <c r="AN23" i="25" s="1"/>
  <c r="S13" i="70"/>
  <c r="B194" i="53" s="1"/>
  <c r="D194" i="53" s="1"/>
  <c r="D2302" i="53"/>
  <c r="AK39" i="25"/>
  <c r="AN39" i="25" s="1"/>
  <c r="M40" i="70"/>
  <c r="N40" i="70" s="1"/>
  <c r="AJ39" i="25"/>
  <c r="AM39" i="25" s="1"/>
  <c r="S45" i="56"/>
  <c r="BU9" i="17"/>
  <c r="BT12" i="17"/>
  <c r="Q13" i="70" s="1"/>
  <c r="B192" i="53" s="1"/>
  <c r="D192" i="53" s="1"/>
  <c r="BU17" i="17"/>
  <c r="BT43" i="17"/>
  <c r="BT39" i="17"/>
  <c r="BT31" i="17"/>
  <c r="BU24" i="17"/>
  <c r="BT44" i="17"/>
  <c r="Q45" i="70" s="1"/>
  <c r="B2631" i="53" s="1"/>
  <c r="BT20" i="17"/>
  <c r="BS20" i="17" s="1"/>
  <c r="P21" i="70" s="1"/>
  <c r="B278" i="53" s="1"/>
  <c r="D278" i="53" s="1"/>
  <c r="BU33" i="17"/>
  <c r="D3017" i="53"/>
  <c r="BU7" i="17"/>
  <c r="BT21" i="17"/>
  <c r="BS21" i="17" s="1"/>
  <c r="P22" i="70" s="1"/>
  <c r="B307" i="53" s="1"/>
  <c r="D307" i="53" s="1"/>
  <c r="BU11" i="17"/>
  <c r="BU42" i="17"/>
  <c r="BT8" i="17"/>
  <c r="Q9" i="70" s="1"/>
  <c r="BU8" i="17"/>
  <c r="BT23" i="17"/>
  <c r="Q40" i="56" s="1"/>
  <c r="BT26" i="17"/>
  <c r="O43" i="24" s="1"/>
  <c r="BU20" i="17"/>
  <c r="BU35" i="17"/>
  <c r="D3051" i="53"/>
  <c r="D3049" i="53"/>
  <c r="BS25" i="17"/>
  <c r="N27" i="24" s="1"/>
  <c r="M50" i="70"/>
  <c r="B2477" i="53" s="1"/>
  <c r="M45" i="56"/>
  <c r="N45" i="56" s="1"/>
  <c r="U45" i="56" s="1"/>
  <c r="BU31" i="17"/>
  <c r="BU36" i="17"/>
  <c r="BT27" i="17"/>
  <c r="Q28" i="70" s="1"/>
  <c r="B482" i="53" s="1"/>
  <c r="BU26" i="17"/>
  <c r="Q60" i="56"/>
  <c r="BT37" i="17"/>
  <c r="BS37" i="17" s="1"/>
  <c r="P61" i="56" s="1"/>
  <c r="AK7" i="25"/>
  <c r="AN7" i="25" s="1"/>
  <c r="AJ7" i="25"/>
  <c r="AM7" i="25" s="1"/>
  <c r="D3079" i="53"/>
  <c r="D3077" i="53"/>
  <c r="BS36" i="17"/>
  <c r="S72" i="56"/>
  <c r="S38" i="70"/>
  <c r="B803" i="53" s="1"/>
  <c r="D803" i="53" s="1"/>
  <c r="D3081" i="53"/>
  <c r="S61" i="56"/>
  <c r="M30" i="70"/>
  <c r="B1323" i="53" s="1"/>
  <c r="D2303" i="53"/>
  <c r="D2069" i="53"/>
  <c r="M60" i="56"/>
  <c r="N60" i="56" s="1"/>
  <c r="S46" i="56"/>
  <c r="BT51" i="17"/>
  <c r="D3018" i="53"/>
  <c r="D2066" i="53"/>
  <c r="AJ16" i="25"/>
  <c r="AM16" i="25" s="1"/>
  <c r="AP16" i="25" s="1"/>
  <c r="X16" i="70" s="1"/>
  <c r="S41" i="70"/>
  <c r="B861" i="53" s="1"/>
  <c r="D3078" i="53"/>
  <c r="D3080" i="53"/>
  <c r="D3019" i="53"/>
  <c r="S22" i="70"/>
  <c r="B310" i="53" s="1"/>
  <c r="D310" i="53" s="1"/>
  <c r="M37" i="70"/>
  <c r="B1830" i="53" s="1"/>
  <c r="K27" i="24"/>
  <c r="L27" i="24" s="1"/>
  <c r="R27" i="24" s="1"/>
  <c r="D3108" i="53"/>
  <c r="S9" i="70"/>
  <c r="Q35" i="70"/>
  <c r="B1714" i="53" s="1"/>
  <c r="M33" i="70"/>
  <c r="B1502" i="53" s="1"/>
  <c r="M32" i="70"/>
  <c r="B594" i="53" s="1"/>
  <c r="I79" i="1"/>
  <c r="N79" i="1" s="1"/>
  <c r="AJ19" i="25"/>
  <c r="AM19" i="25" s="1"/>
  <c r="M46" i="56"/>
  <c r="N46" i="56" s="1"/>
  <c r="U46" i="56" s="1"/>
  <c r="K38" i="24"/>
  <c r="L38" i="24" s="1"/>
  <c r="R38" i="24" s="1"/>
  <c r="AK40" i="25"/>
  <c r="AN40" i="25" s="1"/>
  <c r="Q31" i="56"/>
  <c r="M17" i="70"/>
  <c r="N17" i="70" s="1"/>
  <c r="B2210" i="53" s="1"/>
  <c r="M72" i="56"/>
  <c r="N72" i="56" s="1"/>
  <c r="AK42" i="25"/>
  <c r="AN42" i="25" s="1"/>
  <c r="AK19" i="25"/>
  <c r="AN19" i="25" s="1"/>
  <c r="AK21" i="25"/>
  <c r="AN21" i="25" s="1"/>
  <c r="M24" i="70"/>
  <c r="N24" i="70" s="1"/>
  <c r="I78" i="1"/>
  <c r="N78" i="1" s="1"/>
  <c r="M21" i="70"/>
  <c r="N21" i="70" s="1"/>
  <c r="AJ21" i="25"/>
  <c r="AM21" i="25" s="1"/>
  <c r="AK22" i="25"/>
  <c r="AN22" i="25" s="1"/>
  <c r="M37" i="56"/>
  <c r="N37" i="56" s="1"/>
  <c r="M36" i="56"/>
  <c r="N36" i="56" s="1"/>
  <c r="Q12" i="70"/>
  <c r="B163" i="53" s="1"/>
  <c r="D163" i="53" s="1"/>
  <c r="BS11" i="17"/>
  <c r="P12" i="70" s="1"/>
  <c r="B162" i="53" s="1"/>
  <c r="D162" i="53" s="1"/>
  <c r="BU51" i="17"/>
  <c r="BT45" i="17"/>
  <c r="Q46" i="70" s="1"/>
  <c r="BU52" i="17"/>
  <c r="AJ21" i="17"/>
  <c r="I80" i="1" s="1"/>
  <c r="N80" i="1" s="1"/>
  <c r="M25" i="70"/>
  <c r="B391" i="53" s="1"/>
  <c r="S25" i="70"/>
  <c r="B397" i="53" s="1"/>
  <c r="S31" i="56"/>
  <c r="S14" i="70"/>
  <c r="B223" i="53" s="1"/>
  <c r="I76" i="1"/>
  <c r="S60" i="56"/>
  <c r="AJ45" i="17"/>
  <c r="AJ46" i="25" s="1"/>
  <c r="AM46" i="25" s="1"/>
  <c r="M52" i="70"/>
  <c r="B2807" i="53" s="1"/>
  <c r="AK52" i="25"/>
  <c r="AN52" i="25" s="1"/>
  <c r="M16" i="70"/>
  <c r="B1058" i="53" s="1"/>
  <c r="I93" i="1"/>
  <c r="N93" i="1" s="1"/>
  <c r="K43" i="24"/>
  <c r="M27" i="70"/>
  <c r="Q26" i="70"/>
  <c r="B424" i="53" s="1"/>
  <c r="D424" i="53" s="1"/>
  <c r="O27" i="24"/>
  <c r="K21" i="24"/>
  <c r="L21" i="24" s="1"/>
  <c r="R21" i="24" s="1"/>
  <c r="M28" i="56"/>
  <c r="BS10" i="17"/>
  <c r="P11" i="70" s="1"/>
  <c r="M26" i="70"/>
  <c r="S26" i="70"/>
  <c r="B426" i="53" s="1"/>
  <c r="D426" i="53" s="1"/>
  <c r="S34" i="56"/>
  <c r="BU45" i="17"/>
  <c r="BT52" i="17"/>
  <c r="Q53" i="70" s="1"/>
  <c r="B2900" i="53" s="1"/>
  <c r="S28" i="70"/>
  <c r="B484" i="53" s="1"/>
  <c r="Q31" i="70"/>
  <c r="B1386" i="53" s="1"/>
  <c r="D1386" i="53" s="1"/>
  <c r="BS30" i="17"/>
  <c r="I58" i="1"/>
  <c r="N58" i="1" s="1"/>
  <c r="P58" i="1" s="1"/>
  <c r="AJ49" i="25"/>
  <c r="AM49" i="25" s="1"/>
  <c r="M49" i="70"/>
  <c r="M10" i="56"/>
  <c r="K9" i="24"/>
  <c r="AK49" i="25"/>
  <c r="AN49" i="25" s="1"/>
  <c r="BS29" i="17"/>
  <c r="P36" i="56"/>
  <c r="M35" i="70"/>
  <c r="BX34" i="17"/>
  <c r="AJ52" i="25"/>
  <c r="AM52" i="25" s="1"/>
  <c r="AP15" i="25"/>
  <c r="X15" i="70" s="1"/>
  <c r="AJ22" i="25"/>
  <c r="AM22" i="25" s="1"/>
  <c r="K29" i="24"/>
  <c r="Q25" i="70"/>
  <c r="B395" i="53" s="1"/>
  <c r="BS24" i="17"/>
  <c r="M51" i="56"/>
  <c r="N51" i="56" s="1"/>
  <c r="U51" i="56" s="1"/>
  <c r="I75" i="1"/>
  <c r="N75" i="1" s="1"/>
  <c r="S36" i="70"/>
  <c r="B1806" i="53" s="1"/>
  <c r="S50" i="70"/>
  <c r="B18" i="53" s="1"/>
  <c r="D18" i="53" s="1"/>
  <c r="M7" i="70"/>
  <c r="S35" i="70"/>
  <c r="S50" i="56"/>
  <c r="I70" i="1"/>
  <c r="N70" i="1" s="1"/>
  <c r="M33" i="56"/>
  <c r="S44" i="70"/>
  <c r="S10" i="70"/>
  <c r="K26" i="24"/>
  <c r="L26" i="24" s="1"/>
  <c r="BT14" i="17"/>
  <c r="BU15" i="17"/>
  <c r="BU16" i="17"/>
  <c r="BU14" i="17"/>
  <c r="BT16" i="17"/>
  <c r="BT15" i="17"/>
  <c r="S51" i="70"/>
  <c r="D3021" i="53"/>
  <c r="D2301" i="53"/>
  <c r="I73" i="1"/>
  <c r="N73" i="1" s="1"/>
  <c r="M31" i="56"/>
  <c r="M50" i="56"/>
  <c r="M10" i="70"/>
  <c r="I92" i="1"/>
  <c r="N92" i="1" s="1"/>
  <c r="K42" i="24"/>
  <c r="M53" i="70"/>
  <c r="B2926" i="53" s="1"/>
  <c r="AJ53" i="25"/>
  <c r="AM53" i="25" s="1"/>
  <c r="AK53" i="25"/>
  <c r="AN53" i="25" s="1"/>
  <c r="S53" i="70"/>
  <c r="AJ44" i="17"/>
  <c r="D2067" i="53"/>
  <c r="D2068" i="53"/>
  <c r="D2300" i="53"/>
  <c r="D2331" i="53"/>
  <c r="D3050" i="53"/>
  <c r="D3048" i="53"/>
  <c r="D2070" i="53"/>
  <c r="D2333" i="53"/>
  <c r="D2334" i="53"/>
  <c r="D2330" i="53"/>
  <c r="B1009" i="53"/>
  <c r="B2131" i="53"/>
  <c r="BA72" i="102"/>
  <c r="BA29" i="102"/>
  <c r="BA13" i="102"/>
  <c r="BA87" i="102"/>
  <c r="BA104" i="102"/>
  <c r="BA44" i="102"/>
  <c r="BA99" i="102"/>
  <c r="BA108" i="102"/>
  <c r="BA75" i="102"/>
  <c r="BA74" i="102"/>
  <c r="BA91" i="102"/>
  <c r="BA103" i="102"/>
  <c r="BA23" i="102"/>
  <c r="BA10" i="102"/>
  <c r="BA54" i="102"/>
  <c r="BA4" i="102"/>
  <c r="BA67" i="102"/>
  <c r="BA84" i="102"/>
  <c r="BA39" i="102"/>
  <c r="BA36" i="102"/>
  <c r="BA48" i="102"/>
  <c r="BA77" i="102"/>
  <c r="BA53" i="102"/>
  <c r="BA33" i="102"/>
  <c r="BA35" i="102"/>
  <c r="BA18" i="102"/>
  <c r="BA34" i="102"/>
  <c r="BA80" i="102"/>
  <c r="BA94" i="102"/>
  <c r="BA42" i="102"/>
  <c r="BA30" i="102"/>
  <c r="BA47" i="102"/>
  <c r="BA50" i="102"/>
  <c r="BA90" i="102"/>
  <c r="BA6" i="102"/>
  <c r="BA12" i="102"/>
  <c r="BA25" i="102"/>
  <c r="BA24" i="102"/>
  <c r="BA98" i="102"/>
  <c r="BA55" i="102"/>
  <c r="BA92" i="102"/>
  <c r="BA93" i="102"/>
  <c r="BA85" i="102"/>
  <c r="BA11" i="102"/>
  <c r="BA59" i="102"/>
  <c r="BA83" i="102"/>
  <c r="BA21" i="102"/>
  <c r="BA43" i="102"/>
  <c r="BA7" i="102"/>
  <c r="BA62" i="102"/>
  <c r="BA88" i="102"/>
  <c r="BA26" i="102"/>
  <c r="BA56" i="102"/>
  <c r="BA5" i="102"/>
  <c r="BA28" i="102"/>
  <c r="BA100" i="102"/>
  <c r="BA68" i="102"/>
  <c r="BA40" i="102"/>
  <c r="BA19" i="102"/>
  <c r="BA96" i="102"/>
  <c r="BA86" i="102"/>
  <c r="BA66" i="102"/>
  <c r="BA20" i="102"/>
  <c r="BA69" i="102"/>
  <c r="BA58" i="102"/>
  <c r="BA60" i="102"/>
  <c r="BA45" i="102"/>
  <c r="BA16" i="102"/>
  <c r="BA22" i="102"/>
  <c r="BA31" i="102"/>
  <c r="BA61" i="102"/>
  <c r="BA78" i="102"/>
  <c r="BA8" i="102"/>
  <c r="BA49" i="102"/>
  <c r="BA95" i="102"/>
  <c r="BA97" i="102"/>
  <c r="BA101" i="102"/>
  <c r="BA46" i="102"/>
  <c r="BA106" i="102"/>
  <c r="BA63" i="102"/>
  <c r="BA73" i="102"/>
  <c r="BA17" i="102"/>
  <c r="BA89" i="102"/>
  <c r="BA70" i="102"/>
  <c r="BA51" i="102"/>
  <c r="BA105" i="102"/>
  <c r="BA41" i="102"/>
  <c r="BA32" i="102"/>
  <c r="BA81" i="102"/>
  <c r="BA52" i="102"/>
  <c r="BA102" i="102"/>
  <c r="BA38" i="102"/>
  <c r="BA27" i="102"/>
  <c r="BA57" i="102"/>
  <c r="BA15" i="102"/>
  <c r="BA76" i="102"/>
  <c r="BA71" i="102"/>
  <c r="BA64" i="102"/>
  <c r="BA65" i="102"/>
  <c r="BA37" i="102"/>
  <c r="BA82" i="102"/>
  <c r="BA79" i="102"/>
  <c r="BA9" i="102"/>
  <c r="BA14" i="102"/>
  <c r="BA109" i="102"/>
  <c r="B1771" i="53" l="1"/>
  <c r="B113" i="53"/>
  <c r="AB39" i="70"/>
  <c r="B83" i="53"/>
  <c r="D2928" i="53"/>
  <c r="B2640" i="53"/>
  <c r="D2040" i="53"/>
  <c r="W47" i="70"/>
  <c r="V47" i="70"/>
  <c r="B129" i="53"/>
  <c r="B2984" i="53"/>
  <c r="B2954" i="53"/>
  <c r="B1530" i="53"/>
  <c r="N28" i="56"/>
  <c r="U28" i="56" s="1"/>
  <c r="AC14" i="11"/>
  <c r="I64" i="31"/>
  <c r="K64" i="31" s="1"/>
  <c r="AH63" i="11"/>
  <c r="Z63" i="11"/>
  <c r="Q8" i="70"/>
  <c r="N68" i="1"/>
  <c r="P68" i="1" s="1"/>
  <c r="N8" i="70"/>
  <c r="F101" i="6"/>
  <c r="G101" i="6" s="1"/>
  <c r="F98" i="6"/>
  <c r="G98" i="6" s="1"/>
  <c r="F99" i="6"/>
  <c r="G99" i="6" s="1"/>
  <c r="F100" i="6"/>
  <c r="G100" i="6" s="1"/>
  <c r="F97" i="6"/>
  <c r="G97" i="6" s="1"/>
  <c r="L18" i="56"/>
  <c r="AE18" i="56"/>
  <c r="N10" i="5"/>
  <c r="I10" i="5"/>
  <c r="AA50" i="6" s="1"/>
  <c r="H48" i="69"/>
  <c r="H49" i="69" s="1"/>
  <c r="I47" i="69"/>
  <c r="I48" i="69" s="1"/>
  <c r="I49" i="69" s="1"/>
  <c r="F57" i="69"/>
  <c r="F58" i="69" s="1"/>
  <c r="G56" i="69"/>
  <c r="I9" i="5"/>
  <c r="Z50" i="6" s="1"/>
  <c r="N9" i="5"/>
  <c r="N18" i="5"/>
  <c r="I18" i="5"/>
  <c r="AI50" i="6" s="1"/>
  <c r="AC31" i="11"/>
  <c r="V18" i="70"/>
  <c r="B1347" i="53"/>
  <c r="AI71" i="11"/>
  <c r="V29" i="70"/>
  <c r="AD71" i="11"/>
  <c r="AF14" i="11"/>
  <c r="AA58" i="11"/>
  <c r="AK58" i="11"/>
  <c r="AE63" i="11"/>
  <c r="N23" i="56"/>
  <c r="L20" i="24"/>
  <c r="R20" i="24" s="1"/>
  <c r="I49" i="31"/>
  <c r="K49" i="31" s="1"/>
  <c r="AJ58" i="11"/>
  <c r="B680" i="53"/>
  <c r="B1679" i="53"/>
  <c r="D1682" i="53" s="1"/>
  <c r="W10" i="70"/>
  <c r="H73" i="69"/>
  <c r="H74" i="69" s="1"/>
  <c r="I72" i="69"/>
  <c r="I73" i="69" s="1"/>
  <c r="I74" i="69" s="1"/>
  <c r="L25" i="56"/>
  <c r="AE25" i="56"/>
  <c r="V25" i="56"/>
  <c r="E58" i="69"/>
  <c r="K9" i="56"/>
  <c r="T9" i="56" s="1"/>
  <c r="I13" i="5"/>
  <c r="AD50" i="6" s="1"/>
  <c r="N13" i="5"/>
  <c r="B1361" i="53"/>
  <c r="AB32" i="11"/>
  <c r="AK14" i="11"/>
  <c r="Z14" i="11"/>
  <c r="L25" i="24"/>
  <c r="R25" i="24" s="1"/>
  <c r="N19" i="5"/>
  <c r="L24" i="24"/>
  <c r="R24" i="24" s="1"/>
  <c r="L14" i="24"/>
  <c r="B1215" i="53"/>
  <c r="B1645" i="53"/>
  <c r="AB58" i="11"/>
  <c r="V36" i="70"/>
  <c r="H67" i="1"/>
  <c r="J14" i="24"/>
  <c r="S14" i="24" s="1"/>
  <c r="H66" i="1"/>
  <c r="J19" i="24"/>
  <c r="S19" i="24" s="1"/>
  <c r="H68" i="1"/>
  <c r="J15" i="24"/>
  <c r="S15" i="24" s="1"/>
  <c r="J11" i="24"/>
  <c r="S11" i="24" s="1"/>
  <c r="L28" i="70"/>
  <c r="N28" i="70" s="1"/>
  <c r="B479" i="53" s="1"/>
  <c r="K27" i="56"/>
  <c r="D62" i="69"/>
  <c r="L20" i="70"/>
  <c r="K28" i="56"/>
  <c r="K29" i="56"/>
  <c r="H32" i="69"/>
  <c r="H33" i="69" s="1"/>
  <c r="I31" i="69"/>
  <c r="I32" i="69" s="1"/>
  <c r="I33" i="69" s="1"/>
  <c r="I17" i="5"/>
  <c r="AH50" i="6" s="1"/>
  <c r="N17" i="5"/>
  <c r="H15" i="69"/>
  <c r="H16" i="69" s="1"/>
  <c r="I14" i="69"/>
  <c r="I15" i="69" s="1"/>
  <c r="I16" i="69" s="1"/>
  <c r="N29" i="24"/>
  <c r="N76" i="1"/>
  <c r="P76" i="1" s="1"/>
  <c r="L16" i="24"/>
  <c r="L8" i="24"/>
  <c r="N90" i="1"/>
  <c r="P90" i="1" s="1"/>
  <c r="Z16" i="11"/>
  <c r="AF10" i="11"/>
  <c r="AE10" i="11"/>
  <c r="AJ10" i="11"/>
  <c r="L26" i="31"/>
  <c r="B502" i="53"/>
  <c r="BP92" i="6"/>
  <c r="BP93" i="6"/>
  <c r="W36" i="70"/>
  <c r="B1779" i="53" s="1"/>
  <c r="W11" i="70"/>
  <c r="B139" i="53" s="1"/>
  <c r="AB71" i="11"/>
  <c r="AD63" i="11"/>
  <c r="Z58" i="11"/>
  <c r="N20" i="56"/>
  <c r="AE31" i="11"/>
  <c r="W8" i="70"/>
  <c r="B50" i="53" s="1"/>
  <c r="AE30" i="56"/>
  <c r="V30" i="56"/>
  <c r="L30" i="56"/>
  <c r="H77" i="69"/>
  <c r="H78" i="69" s="1"/>
  <c r="I76" i="69"/>
  <c r="I77" i="69" s="1"/>
  <c r="I78" i="69" s="1"/>
  <c r="F60" i="69"/>
  <c r="E61" i="69"/>
  <c r="E62" i="69" s="1"/>
  <c r="N12" i="5"/>
  <c r="J12" i="24"/>
  <c r="L12" i="24" s="1"/>
  <c r="H19" i="1"/>
  <c r="H20" i="1"/>
  <c r="H29" i="1"/>
  <c r="H21" i="1"/>
  <c r="H22" i="1"/>
  <c r="J9" i="24"/>
  <c r="S9" i="24" s="1"/>
  <c r="N11" i="5"/>
  <c r="I7" i="5"/>
  <c r="X50" i="6" s="1"/>
  <c r="N7" i="5"/>
  <c r="G23" i="69"/>
  <c r="G24" i="69" s="1"/>
  <c r="H22" i="69"/>
  <c r="N27" i="56"/>
  <c r="U27" i="56" s="1"/>
  <c r="AE23" i="56"/>
  <c r="L23" i="56"/>
  <c r="B2189" i="53"/>
  <c r="AH32" i="11"/>
  <c r="AH14" i="11"/>
  <c r="W29" i="70"/>
  <c r="B1302" i="53" s="1"/>
  <c r="AA14" i="11"/>
  <c r="N16" i="56"/>
  <c r="L39" i="24"/>
  <c r="R39" i="24" s="1"/>
  <c r="O29" i="24"/>
  <c r="L43" i="24"/>
  <c r="R43" i="24" s="1"/>
  <c r="D687" i="53"/>
  <c r="L40" i="24"/>
  <c r="AB6" i="70"/>
  <c r="AA10" i="11"/>
  <c r="W10" i="11"/>
  <c r="K26" i="31"/>
  <c r="B270" i="53"/>
  <c r="B1795" i="53"/>
  <c r="AJ71" i="11"/>
  <c r="AH71" i="11"/>
  <c r="Y14" i="11"/>
  <c r="X63" i="11"/>
  <c r="AG58" i="11"/>
  <c r="AA71" i="11"/>
  <c r="V8" i="70"/>
  <c r="B299" i="53"/>
  <c r="W22" i="70"/>
  <c r="B313" i="53" s="1"/>
  <c r="BX20" i="17"/>
  <c r="BY20" i="17" s="1"/>
  <c r="L19" i="56"/>
  <c r="AE19" i="56"/>
  <c r="I16" i="5"/>
  <c r="AG50" i="6" s="1"/>
  <c r="N16" i="5"/>
  <c r="I14" i="5"/>
  <c r="AE50" i="6" s="1"/>
  <c r="N14" i="5"/>
  <c r="F36" i="69"/>
  <c r="F37" i="69" s="1"/>
  <c r="G35" i="69"/>
  <c r="N67" i="1"/>
  <c r="P67" i="1" s="1"/>
  <c r="B1675" i="53"/>
  <c r="N9" i="56"/>
  <c r="AI58" i="11"/>
  <c r="N99" i="1"/>
  <c r="AH58" i="11"/>
  <c r="L20" i="56"/>
  <c r="AE20" i="56"/>
  <c r="B734" i="53"/>
  <c r="W71" i="11"/>
  <c r="AC71" i="11"/>
  <c r="B792" i="53"/>
  <c r="V38" i="70"/>
  <c r="Q36" i="56"/>
  <c r="T36" i="56" s="1"/>
  <c r="AB48" i="70"/>
  <c r="N87" i="1"/>
  <c r="P87" i="1" s="1"/>
  <c r="N66" i="1"/>
  <c r="P66" i="1" s="1"/>
  <c r="V30" i="70"/>
  <c r="Z71" i="11"/>
  <c r="AG71" i="11"/>
  <c r="AJ63" i="11"/>
  <c r="N88" i="1"/>
  <c r="W46" i="70"/>
  <c r="V46" i="70"/>
  <c r="B1086" i="53"/>
  <c r="B2835" i="53"/>
  <c r="B2865" i="53"/>
  <c r="D2872" i="53" s="1"/>
  <c r="D120" i="71"/>
  <c r="D115" i="71"/>
  <c r="D114" i="71"/>
  <c r="D123" i="71"/>
  <c r="D118" i="71"/>
  <c r="D122" i="71"/>
  <c r="D121" i="71"/>
  <c r="D112" i="71"/>
  <c r="D119" i="71"/>
  <c r="D116" i="71"/>
  <c r="D113" i="71"/>
  <c r="D117" i="71"/>
  <c r="L21" i="56"/>
  <c r="AE21" i="56"/>
  <c r="N5" i="5"/>
  <c r="I5" i="5"/>
  <c r="V50" i="6" s="1"/>
  <c r="I6" i="5"/>
  <c r="W50" i="6" s="1"/>
  <c r="N6" i="5"/>
  <c r="I8" i="5"/>
  <c r="Y50" i="6" s="1"/>
  <c r="N8" i="5"/>
  <c r="K13" i="56"/>
  <c r="N13" i="56" s="1"/>
  <c r="K16" i="56"/>
  <c r="K17" i="56"/>
  <c r="E37" i="69"/>
  <c r="K11" i="56"/>
  <c r="N11" i="56" s="1"/>
  <c r="K26" i="56"/>
  <c r="T26" i="56" s="1"/>
  <c r="P69" i="1"/>
  <c r="B603" i="53"/>
  <c r="B748" i="53"/>
  <c r="B2666" i="53"/>
  <c r="B2102" i="53"/>
  <c r="B1898" i="53"/>
  <c r="B1809" i="53"/>
  <c r="B1272" i="53"/>
  <c r="B2696" i="53"/>
  <c r="B1481" i="53"/>
  <c r="B864" i="53"/>
  <c r="P74" i="1"/>
  <c r="Q46" i="56"/>
  <c r="Q33" i="70"/>
  <c r="B1565" i="53" s="1"/>
  <c r="D1565" i="53" s="1"/>
  <c r="B1725" i="53"/>
  <c r="Q18" i="70"/>
  <c r="B1684" i="53" s="1"/>
  <c r="P46" i="56"/>
  <c r="BS44" i="17"/>
  <c r="P45" i="70" s="1"/>
  <c r="B2630" i="53" s="1"/>
  <c r="D2630" i="53" s="1"/>
  <c r="Q59" i="56"/>
  <c r="BS50" i="17"/>
  <c r="P59" i="56" s="1"/>
  <c r="BX25" i="17"/>
  <c r="BY25" i="17" s="1"/>
  <c r="BS12" i="17"/>
  <c r="P13" i="70" s="1"/>
  <c r="B191" i="53" s="1"/>
  <c r="D191" i="53" s="1"/>
  <c r="BX40" i="17"/>
  <c r="BS8" i="17"/>
  <c r="P9" i="70" s="1"/>
  <c r="T9" i="70" s="1"/>
  <c r="N38" i="24"/>
  <c r="B1357" i="53"/>
  <c r="D1357" i="53" s="1"/>
  <c r="B1354" i="53"/>
  <c r="D1354" i="53" s="1"/>
  <c r="O9" i="24"/>
  <c r="Q36" i="70"/>
  <c r="B1804" i="53" s="1"/>
  <c r="D1804" i="53" s="1"/>
  <c r="Q10" i="70"/>
  <c r="Q49" i="70"/>
  <c r="B2451" i="53" s="1"/>
  <c r="D2451" i="53" s="1"/>
  <c r="N31" i="24"/>
  <c r="Q10" i="56"/>
  <c r="T10" i="56" s="1"/>
  <c r="AC10" i="56" s="1"/>
  <c r="AI10" i="56" s="1"/>
  <c r="AJ10" i="56" s="1"/>
  <c r="BS33" i="17"/>
  <c r="BX33" i="17" s="1"/>
  <c r="Q50" i="56"/>
  <c r="BS19" i="17"/>
  <c r="P34" i="56"/>
  <c r="T34" i="56" s="1"/>
  <c r="P23" i="70"/>
  <c r="BS9" i="17"/>
  <c r="N42" i="24" s="1"/>
  <c r="Q42" i="24" s="1"/>
  <c r="Q23" i="70"/>
  <c r="B337" i="53" s="1"/>
  <c r="D337" i="53" s="1"/>
  <c r="B1417" i="53"/>
  <c r="D1417" i="53" s="1"/>
  <c r="AP12" i="25"/>
  <c r="X12" i="70" s="1"/>
  <c r="B169" i="53" s="1"/>
  <c r="B1685" i="53"/>
  <c r="D1685" i="53" s="1"/>
  <c r="B667" i="53"/>
  <c r="AP42" i="25"/>
  <c r="X17" i="70" s="1"/>
  <c r="Z17" i="70" s="1"/>
  <c r="AP18" i="25"/>
  <c r="X20" i="70" s="1"/>
  <c r="D397" i="53"/>
  <c r="B1680" i="53"/>
  <c r="B1339" i="53"/>
  <c r="B12" i="53"/>
  <c r="B2393" i="53"/>
  <c r="D2393" i="53" s="1"/>
  <c r="AP11" i="25"/>
  <c r="T42" i="24" s="1"/>
  <c r="B668" i="53"/>
  <c r="B2449" i="53"/>
  <c r="D2449" i="53" s="1"/>
  <c r="B1238" i="53"/>
  <c r="D1238" i="53" s="1"/>
  <c r="B1637" i="53"/>
  <c r="D1298" i="53"/>
  <c r="B2419" i="53"/>
  <c r="D2419" i="53" s="1"/>
  <c r="B2838" i="53"/>
  <c r="B855" i="53"/>
  <c r="B581" i="53"/>
  <c r="B2098" i="53"/>
  <c r="D2098" i="53" s="1"/>
  <c r="B1905" i="53"/>
  <c r="B1089" i="53"/>
  <c r="B1924" i="53"/>
  <c r="D1924" i="53" s="1"/>
  <c r="B135" i="53"/>
  <c r="AP26" i="25"/>
  <c r="W51" i="56" s="1"/>
  <c r="P88" i="1"/>
  <c r="D742" i="53"/>
  <c r="B2245" i="53"/>
  <c r="D2245" i="53" s="1"/>
  <c r="B639" i="53"/>
  <c r="Q48" i="56"/>
  <c r="B2241" i="53"/>
  <c r="D2241" i="53" s="1"/>
  <c r="BS7" i="17"/>
  <c r="B1035" i="53"/>
  <c r="D1035" i="53" s="1"/>
  <c r="Q33" i="56"/>
  <c r="Q47" i="70"/>
  <c r="B134" i="53" s="1"/>
  <c r="AP44" i="25"/>
  <c r="X44" i="70" s="1"/>
  <c r="B2398" i="53" s="1"/>
  <c r="N9" i="24"/>
  <c r="Q7" i="70"/>
  <c r="B1237" i="53" s="1"/>
  <c r="D1237" i="53" s="1"/>
  <c r="BS6" i="17"/>
  <c r="P33" i="56" s="1"/>
  <c r="B957" i="53"/>
  <c r="P49" i="70"/>
  <c r="P38" i="56"/>
  <c r="Q14" i="70"/>
  <c r="B221" i="53" s="1"/>
  <c r="D221" i="53" s="1"/>
  <c r="Q41" i="70"/>
  <c r="B859" i="53" s="1"/>
  <c r="D859" i="53" s="1"/>
  <c r="P47" i="70"/>
  <c r="B2958" i="53" s="1"/>
  <c r="B1030" i="53"/>
  <c r="B1606" i="53"/>
  <c r="B2109" i="53"/>
  <c r="B1006" i="53"/>
  <c r="D1006" i="53" s="1"/>
  <c r="B754" i="53"/>
  <c r="B1921" i="53"/>
  <c r="D1921" i="53" s="1"/>
  <c r="D1712" i="53"/>
  <c r="T78" i="56"/>
  <c r="AC78" i="56" s="1"/>
  <c r="AI78" i="56" s="1"/>
  <c r="AJ78" i="56" s="1"/>
  <c r="AP40" i="25"/>
  <c r="X41" i="70" s="1"/>
  <c r="Z41" i="70" s="1"/>
  <c r="T19" i="56"/>
  <c r="AC19" i="56" s="1"/>
  <c r="AI19" i="56" s="1"/>
  <c r="AJ19" i="56" s="1"/>
  <c r="B2423" i="53"/>
  <c r="D2423" i="53" s="1"/>
  <c r="B1387" i="53"/>
  <c r="D1387" i="53" s="1"/>
  <c r="B217" i="53"/>
  <c r="B770" i="53"/>
  <c r="D770" i="53" s="1"/>
  <c r="B2881" i="53"/>
  <c r="B146" i="53"/>
  <c r="P99" i="1"/>
  <c r="P96" i="1"/>
  <c r="B1786" i="53"/>
  <c r="B2453" i="53"/>
  <c r="D2453" i="53" s="1"/>
  <c r="P91" i="1"/>
  <c r="AP8" i="25"/>
  <c r="X8" i="70" s="1"/>
  <c r="D1206" i="53"/>
  <c r="B2657" i="53"/>
  <c r="D395" i="53"/>
  <c r="B27" i="53"/>
  <c r="AH48" i="70"/>
  <c r="D1805" i="53"/>
  <c r="D396" i="53"/>
  <c r="B132" i="53"/>
  <c r="B1044" i="53"/>
  <c r="Q36" i="24"/>
  <c r="Y36" i="24" s="1"/>
  <c r="AB36" i="24" s="1"/>
  <c r="AC36" i="24" s="1"/>
  <c r="AJ31" i="11"/>
  <c r="AA42" i="11"/>
  <c r="I43" i="31"/>
  <c r="AG42" i="11"/>
  <c r="AF42" i="11"/>
  <c r="AI42" i="11"/>
  <c r="AD42" i="11"/>
  <c r="W42" i="11"/>
  <c r="AB42" i="11"/>
  <c r="AG12" i="11"/>
  <c r="AF12" i="11"/>
  <c r="AB12" i="11"/>
  <c r="B686" i="53"/>
  <c r="B2011" i="53"/>
  <c r="D2011" i="53" s="1"/>
  <c r="B1384" i="53"/>
  <c r="D1384" i="53" s="1"/>
  <c r="B2687" i="53"/>
  <c r="B683" i="53"/>
  <c r="AH31" i="11"/>
  <c r="AE12" i="11"/>
  <c r="W12" i="11"/>
  <c r="W31" i="11"/>
  <c r="AA32" i="11"/>
  <c r="Z67" i="11"/>
  <c r="D393" i="53"/>
  <c r="AH30" i="11"/>
  <c r="D542" i="53"/>
  <c r="AK42" i="11"/>
  <c r="AD31" i="11"/>
  <c r="AK31" i="11"/>
  <c r="AE71" i="11"/>
  <c r="AF71" i="11"/>
  <c r="B2702" i="53"/>
  <c r="I31" i="31"/>
  <c r="Z31" i="11"/>
  <c r="Q46" i="24"/>
  <c r="D1714" i="53"/>
  <c r="B1517" i="53"/>
  <c r="D1745" i="53"/>
  <c r="P73" i="1"/>
  <c r="B741" i="53"/>
  <c r="D741" i="53" s="1"/>
  <c r="X16" i="11"/>
  <c r="AD12" i="11"/>
  <c r="X31" i="11"/>
  <c r="AF31" i="11"/>
  <c r="Z36" i="11"/>
  <c r="AC32" i="11"/>
  <c r="AK67" i="11"/>
  <c r="AJ15" i="11"/>
  <c r="AC42" i="11"/>
  <c r="AI12" i="11"/>
  <c r="B2462" i="53"/>
  <c r="AG31" i="11"/>
  <c r="L46" i="24"/>
  <c r="R46" i="24" s="1"/>
  <c r="B1772" i="53"/>
  <c r="D1772" i="53" s="1"/>
  <c r="B2542" i="53"/>
  <c r="D2542" i="53" s="1"/>
  <c r="AB31" i="11"/>
  <c r="B784" i="53"/>
  <c r="B1742" i="53"/>
  <c r="D1742" i="53" s="1"/>
  <c r="B610" i="53"/>
  <c r="B1268" i="53"/>
  <c r="D1268" i="53" s="1"/>
  <c r="B1715" i="53"/>
  <c r="D1715" i="53" s="1"/>
  <c r="AC16" i="11"/>
  <c r="AJ12" i="11"/>
  <c r="AI31" i="11"/>
  <c r="AG15" i="11"/>
  <c r="AB67" i="11"/>
  <c r="AH67" i="11"/>
  <c r="Y67" i="11"/>
  <c r="AD15" i="11"/>
  <c r="Y15" i="11"/>
  <c r="AG30" i="11"/>
  <c r="Z42" i="11"/>
  <c r="AC12" i="11"/>
  <c r="AC9" i="11"/>
  <c r="AH9" i="11"/>
  <c r="AI9" i="11"/>
  <c r="Y9" i="11"/>
  <c r="AJ9" i="11"/>
  <c r="B580" i="53"/>
  <c r="B1015" i="53"/>
  <c r="B1834" i="53"/>
  <c r="D1834" i="53" s="1"/>
  <c r="D1180" i="53"/>
  <c r="B106" i="53"/>
  <c r="D106" i="53" s="1"/>
  <c r="B1427" i="53"/>
  <c r="Y32" i="11"/>
  <c r="B541" i="53"/>
  <c r="D541" i="53" s="1"/>
  <c r="B712" i="53"/>
  <c r="D712" i="53" s="1"/>
  <c r="B1358" i="53"/>
  <c r="D1358" i="53" s="1"/>
  <c r="B2021" i="53"/>
  <c r="B802" i="53"/>
  <c r="D802" i="53" s="1"/>
  <c r="B599" i="53"/>
  <c r="D599" i="53" s="1"/>
  <c r="I12" i="31"/>
  <c r="L12" i="31" s="1"/>
  <c r="Y31" i="11"/>
  <c r="I15" i="31"/>
  <c r="AA67" i="11"/>
  <c r="X67" i="11"/>
  <c r="AE67" i="11"/>
  <c r="K72" i="31"/>
  <c r="D860" i="53"/>
  <c r="B116" i="53"/>
  <c r="Y42" i="11"/>
  <c r="T20" i="56"/>
  <c r="AC20" i="56" s="1"/>
  <c r="AI20" i="56" s="1"/>
  <c r="AJ20" i="56" s="1"/>
  <c r="Q22" i="24"/>
  <c r="T54" i="56"/>
  <c r="AC54" i="56" s="1"/>
  <c r="AI54" i="56" s="1"/>
  <c r="AJ54" i="56" s="1"/>
  <c r="L11" i="31"/>
  <c r="K11" i="31"/>
  <c r="AB63" i="11"/>
  <c r="W63" i="11"/>
  <c r="AC63" i="11"/>
  <c r="AA63" i="11"/>
  <c r="AI63" i="11"/>
  <c r="AK63" i="11"/>
  <c r="Y63" i="11"/>
  <c r="AD58" i="11"/>
  <c r="W58" i="11"/>
  <c r="AE58" i="11"/>
  <c r="AF58" i="11"/>
  <c r="Y58" i="11"/>
  <c r="W44" i="11"/>
  <c r="I45" i="31"/>
  <c r="Z44" i="11"/>
  <c r="AI44" i="11"/>
  <c r="X44" i="11"/>
  <c r="AH44" i="11"/>
  <c r="AG44" i="11"/>
  <c r="AJ44" i="11"/>
  <c r="AD44" i="11"/>
  <c r="AK44" i="11"/>
  <c r="AE44" i="11"/>
  <c r="AK35" i="11"/>
  <c r="B2403" i="53"/>
  <c r="AJ54" i="11"/>
  <c r="B2404" i="53"/>
  <c r="B2037" i="53"/>
  <c r="D2037" i="53" s="1"/>
  <c r="L15" i="24"/>
  <c r="Z23" i="11"/>
  <c r="AI29" i="11"/>
  <c r="AJ29" i="11"/>
  <c r="AG29" i="11"/>
  <c r="AD29" i="11"/>
  <c r="Z29" i="11"/>
  <c r="AE29" i="11"/>
  <c r="AH29" i="11"/>
  <c r="D1597" i="53"/>
  <c r="AC36" i="11"/>
  <c r="Y36" i="11"/>
  <c r="AE36" i="11"/>
  <c r="B1248" i="53"/>
  <c r="AA36" i="11"/>
  <c r="D1806" i="53"/>
  <c r="B986" i="53"/>
  <c r="B1627" i="53"/>
  <c r="D1627" i="53" s="1"/>
  <c r="B658" i="53"/>
  <c r="D658" i="53" s="1"/>
  <c r="AF16" i="11"/>
  <c r="AI32" i="11"/>
  <c r="AB35" i="11"/>
  <c r="AC35" i="11"/>
  <c r="AC21" i="11"/>
  <c r="AK48" i="11"/>
  <c r="AB48" i="11"/>
  <c r="B1161" i="53"/>
  <c r="B1904" i="53"/>
  <c r="B2374" i="53"/>
  <c r="B948" i="53"/>
  <c r="D948" i="53" s="1"/>
  <c r="B958" i="53"/>
  <c r="B944" i="53"/>
  <c r="D944" i="53" s="1"/>
  <c r="B886" i="53"/>
  <c r="D886" i="53" s="1"/>
  <c r="B1367" i="53"/>
  <c r="Q7" i="24"/>
  <c r="Y7" i="24" s="1"/>
  <c r="AB7" i="24" s="1"/>
  <c r="AC7" i="24" s="1"/>
  <c r="B76" i="53"/>
  <c r="D76" i="53" s="1"/>
  <c r="B715" i="53"/>
  <c r="D715" i="53" s="1"/>
  <c r="B1576" i="53"/>
  <c r="B2373" i="53"/>
  <c r="B333" i="53"/>
  <c r="B567" i="53"/>
  <c r="D567" i="53" s="1"/>
  <c r="Y29" i="11"/>
  <c r="AG32" i="11"/>
  <c r="AA35" i="11"/>
  <c r="I36" i="31"/>
  <c r="L36" i="31" s="1"/>
  <c r="I21" i="31"/>
  <c r="J21" i="31" s="1"/>
  <c r="Y21" i="11"/>
  <c r="AH23" i="11"/>
  <c r="AC23" i="11"/>
  <c r="AC29" i="11"/>
  <c r="D509" i="53"/>
  <c r="T22" i="56"/>
  <c r="AC22" i="56" s="1"/>
  <c r="AI22" i="56" s="1"/>
  <c r="AJ22" i="56" s="1"/>
  <c r="T58" i="56"/>
  <c r="AC58" i="56" s="1"/>
  <c r="AI58" i="56" s="1"/>
  <c r="AJ58" i="56" s="1"/>
  <c r="Q6" i="24"/>
  <c r="Y6" i="24" s="1"/>
  <c r="Y5" i="24" s="1"/>
  <c r="I23" i="31"/>
  <c r="L23" i="31" s="1"/>
  <c r="Y54" i="11"/>
  <c r="AH39" i="70"/>
  <c r="T49" i="56"/>
  <c r="AC49" i="56" s="1"/>
  <c r="AI49" i="56" s="1"/>
  <c r="AJ49" i="56" s="1"/>
  <c r="AC48" i="11"/>
  <c r="T13" i="56"/>
  <c r="T47" i="56"/>
  <c r="AC47" i="56" s="1"/>
  <c r="AI47" i="56" s="1"/>
  <c r="AJ47" i="56" s="1"/>
  <c r="T16" i="56"/>
  <c r="D1623" i="53"/>
  <c r="AI48" i="11"/>
  <c r="W14" i="11"/>
  <c r="X14" i="11"/>
  <c r="AE14" i="11"/>
  <c r="AG14" i="11"/>
  <c r="AB14" i="11"/>
  <c r="I14" i="31"/>
  <c r="AJ14" i="11"/>
  <c r="B755" i="53"/>
  <c r="B1338" i="53"/>
  <c r="B1964" i="53"/>
  <c r="AG35" i="11"/>
  <c r="D219" i="53"/>
  <c r="B2749" i="53"/>
  <c r="D2749" i="53" s="1"/>
  <c r="B45" i="53"/>
  <c r="D45" i="53" s="1"/>
  <c r="Z54" i="11"/>
  <c r="X27" i="70"/>
  <c r="B459" i="53" s="1"/>
  <c r="B2254" i="53"/>
  <c r="B74" i="53"/>
  <c r="D74" i="53" s="1"/>
  <c r="B2255" i="53"/>
  <c r="B1891" i="53"/>
  <c r="D1891" i="53" s="1"/>
  <c r="B596" i="53"/>
  <c r="D596" i="53" s="1"/>
  <c r="B973" i="53"/>
  <c r="D973" i="53" s="1"/>
  <c r="B1894" i="53"/>
  <c r="D1894" i="53" s="1"/>
  <c r="B1418" i="53"/>
  <c r="D1418" i="53" s="1"/>
  <c r="B1265" i="53"/>
  <c r="D1265" i="53" s="1"/>
  <c r="B1176" i="53"/>
  <c r="D1176" i="53" s="1"/>
  <c r="X8" i="11"/>
  <c r="P81" i="1"/>
  <c r="AJ36" i="11"/>
  <c r="AK32" i="11"/>
  <c r="AH35" i="11"/>
  <c r="AD35" i="11"/>
  <c r="AI21" i="11"/>
  <c r="J64" i="31"/>
  <c r="B2137" i="53"/>
  <c r="AB29" i="11"/>
  <c r="D1626" i="53"/>
  <c r="AI54" i="11"/>
  <c r="T25" i="56"/>
  <c r="AC25" i="56" s="1"/>
  <c r="AC24" i="56" s="1"/>
  <c r="X48" i="11"/>
  <c r="T66" i="56"/>
  <c r="AC66" i="56" s="1"/>
  <c r="AI66" i="56" s="1"/>
  <c r="AJ66" i="56" s="1"/>
  <c r="T65" i="56"/>
  <c r="AC65" i="56" s="1"/>
  <c r="AI65" i="56" s="1"/>
  <c r="AJ65" i="56" s="1"/>
  <c r="B130" i="53"/>
  <c r="AG48" i="11"/>
  <c r="AF52" i="11"/>
  <c r="Z52" i="11"/>
  <c r="Y52" i="11"/>
  <c r="AD52" i="11"/>
  <c r="I53" i="31"/>
  <c r="X52" i="11"/>
  <c r="AJ52" i="11"/>
  <c r="AI52" i="11"/>
  <c r="AK52" i="11"/>
  <c r="W52" i="11"/>
  <c r="AC52" i="11"/>
  <c r="AA52" i="11"/>
  <c r="AB52" i="11"/>
  <c r="AG52" i="11"/>
  <c r="AE52" i="11"/>
  <c r="AH52" i="11"/>
  <c r="B1845" i="53"/>
  <c r="AA44" i="11"/>
  <c r="AF54" i="11"/>
  <c r="AB54" i="11"/>
  <c r="AK54" i="11"/>
  <c r="AH54" i="11"/>
  <c r="AC54" i="11"/>
  <c r="AG54" i="11"/>
  <c r="W54" i="11"/>
  <c r="AE54" i="11"/>
  <c r="AF36" i="11"/>
  <c r="I37" i="31"/>
  <c r="L37" i="31" s="1"/>
  <c r="AF35" i="11"/>
  <c r="Y44" i="11"/>
  <c r="AF23" i="11"/>
  <c r="AB23" i="11"/>
  <c r="X23" i="11"/>
  <c r="W23" i="11"/>
  <c r="Y23" i="11"/>
  <c r="AK23" i="11"/>
  <c r="AE23" i="11"/>
  <c r="AJ21" i="11"/>
  <c r="AA21" i="11"/>
  <c r="B57" i="53"/>
  <c r="B1919" i="53"/>
  <c r="B856" i="53"/>
  <c r="B1895" i="53"/>
  <c r="D1895" i="53" s="1"/>
  <c r="Z21" i="11"/>
  <c r="AG23" i="11"/>
  <c r="B1474" i="53"/>
  <c r="D1474" i="53" s="1"/>
  <c r="B1235" i="53"/>
  <c r="D1235" i="53" s="1"/>
  <c r="B2285" i="53"/>
  <c r="B1950" i="53"/>
  <c r="D1950" i="53" s="1"/>
  <c r="B478" i="53"/>
  <c r="B2275" i="53"/>
  <c r="D2275" i="53" s="1"/>
  <c r="B2095" i="53"/>
  <c r="D2095" i="53" s="1"/>
  <c r="T21" i="56"/>
  <c r="AC21" i="56" s="1"/>
  <c r="AI21" i="56" s="1"/>
  <c r="AJ21" i="56" s="1"/>
  <c r="B1329" i="53"/>
  <c r="D1329" i="53" s="1"/>
  <c r="B522" i="53"/>
  <c r="B1652" i="53"/>
  <c r="D1652" i="53" s="1"/>
  <c r="AA8" i="11"/>
  <c r="AB36" i="11"/>
  <c r="W36" i="11"/>
  <c r="AE32" i="11"/>
  <c r="X32" i="11"/>
  <c r="AE35" i="11"/>
  <c r="AB21" i="11"/>
  <c r="AK21" i="11"/>
  <c r="X21" i="11"/>
  <c r="AD23" i="11"/>
  <c r="P71" i="1"/>
  <c r="D1802" i="53"/>
  <c r="X29" i="11"/>
  <c r="AF44" i="11"/>
  <c r="D538" i="53"/>
  <c r="X54" i="11"/>
  <c r="D857" i="53"/>
  <c r="Q39" i="24"/>
  <c r="T29" i="56"/>
  <c r="T17" i="56"/>
  <c r="AC17" i="56" s="1"/>
  <c r="AI17" i="56" s="1"/>
  <c r="AJ17" i="56" s="1"/>
  <c r="Q20" i="24"/>
  <c r="AF48" i="11"/>
  <c r="W15" i="11"/>
  <c r="AB15" i="11"/>
  <c r="Z15" i="11"/>
  <c r="AH15" i="11"/>
  <c r="AI15" i="11"/>
  <c r="AA15" i="11"/>
  <c r="X15" i="11"/>
  <c r="AK15" i="11"/>
  <c r="AD30" i="11"/>
  <c r="W30" i="11"/>
  <c r="AE30" i="11"/>
  <c r="AJ30" i="11"/>
  <c r="I30" i="31"/>
  <c r="AF30" i="11"/>
  <c r="Y30" i="11"/>
  <c r="AG45" i="11"/>
  <c r="AI45" i="11"/>
  <c r="AH45" i="11"/>
  <c r="AE45" i="11"/>
  <c r="Y45" i="11"/>
  <c r="AF45" i="11"/>
  <c r="I46" i="31"/>
  <c r="AK45" i="11"/>
  <c r="W45" i="11"/>
  <c r="Z45" i="11"/>
  <c r="AJ45" i="11"/>
  <c r="AC45" i="11"/>
  <c r="AD45" i="11"/>
  <c r="AB45" i="11"/>
  <c r="B2050" i="53"/>
  <c r="B1487" i="53"/>
  <c r="B1477" i="53"/>
  <c r="D1477" i="53" s="1"/>
  <c r="B609" i="53"/>
  <c r="T14" i="56"/>
  <c r="AC14" i="56" s="1"/>
  <c r="AI14" i="56" s="1"/>
  <c r="AJ14" i="56" s="1"/>
  <c r="B2041" i="53"/>
  <c r="D2041" i="53" s="1"/>
  <c r="B2284" i="53"/>
  <c r="AP28" i="25"/>
  <c r="X30" i="70" s="1"/>
  <c r="B1295" i="53"/>
  <c r="D1295" i="53" s="1"/>
  <c r="T43" i="56"/>
  <c r="AC43" i="56" s="1"/>
  <c r="AI43" i="56" s="1"/>
  <c r="AJ43" i="56" s="1"/>
  <c r="D222" i="53"/>
  <c r="T67" i="56"/>
  <c r="AC67" i="56" s="1"/>
  <c r="AI67" i="56" s="1"/>
  <c r="AJ67" i="56" s="1"/>
  <c r="D1210" i="53"/>
  <c r="P97" i="1"/>
  <c r="AH16" i="11"/>
  <c r="AI36" i="11"/>
  <c r="AD36" i="11"/>
  <c r="Z32" i="11"/>
  <c r="AH21" i="11"/>
  <c r="W21" i="11"/>
  <c r="AI23" i="11"/>
  <c r="W29" i="11"/>
  <c r="AC44" i="11"/>
  <c r="I55" i="31"/>
  <c r="J55" i="31" s="1"/>
  <c r="AD54" i="11"/>
  <c r="P77" i="1"/>
  <c r="T64" i="56"/>
  <c r="AC64" i="56" s="1"/>
  <c r="AI64" i="56" s="1"/>
  <c r="AJ64" i="56" s="1"/>
  <c r="D1209" i="53"/>
  <c r="B105" i="53"/>
  <c r="D105" i="53" s="1"/>
  <c r="Q18" i="24"/>
  <c r="Y18" i="24" s="1"/>
  <c r="Y17" i="24" s="1"/>
  <c r="AA48" i="11"/>
  <c r="AC38" i="11"/>
  <c r="AH38" i="11"/>
  <c r="AF38" i="11"/>
  <c r="AG38" i="11"/>
  <c r="Z38" i="11"/>
  <c r="AJ38" i="11"/>
  <c r="AB38" i="11"/>
  <c r="AD38" i="11"/>
  <c r="AI38" i="11"/>
  <c r="I39" i="31"/>
  <c r="AK38" i="11"/>
  <c r="Y38" i="11"/>
  <c r="W38" i="11"/>
  <c r="AE38" i="11"/>
  <c r="AA38" i="11"/>
  <c r="X38" i="11"/>
  <c r="B75" i="53"/>
  <c r="D75" i="53" s="1"/>
  <c r="B1577" i="53"/>
  <c r="Q34" i="24"/>
  <c r="Y34" i="24" s="1"/>
  <c r="Y33" i="24" s="1"/>
  <c r="T62" i="56"/>
  <c r="AC62" i="56" s="1"/>
  <c r="AI62" i="56" s="1"/>
  <c r="AJ62" i="56" s="1"/>
  <c r="Z55" i="11"/>
  <c r="AA5" i="11"/>
  <c r="I5" i="31"/>
  <c r="AH5" i="11"/>
  <c r="AC5" i="11"/>
  <c r="AF5" i="11"/>
  <c r="AK5" i="11"/>
  <c r="Z5" i="11"/>
  <c r="AB5" i="11"/>
  <c r="AI5" i="11"/>
  <c r="AC60" i="11"/>
  <c r="W60" i="11"/>
  <c r="I61" i="31"/>
  <c r="AH60" i="11"/>
  <c r="AD60" i="11"/>
  <c r="AG39" i="70"/>
  <c r="B1239" i="53"/>
  <c r="D1239" i="53" s="1"/>
  <c r="B842" i="53"/>
  <c r="T44" i="56"/>
  <c r="AC44" i="56" s="1"/>
  <c r="AI44" i="56" s="1"/>
  <c r="AJ44" i="56" s="1"/>
  <c r="B1756" i="53"/>
  <c r="D1595" i="53"/>
  <c r="B2214" i="53"/>
  <c r="D2214" i="53" s="1"/>
  <c r="B1665" i="53"/>
  <c r="B14" i="53"/>
  <c r="D14" i="53" s="1"/>
  <c r="AG60" i="11"/>
  <c r="Y10" i="11"/>
  <c r="AB10" i="11"/>
  <c r="AH10" i="11"/>
  <c r="AI10" i="11"/>
  <c r="AG10" i="11"/>
  <c r="B2153" i="53"/>
  <c r="D2153" i="53" s="1"/>
  <c r="B1325" i="53"/>
  <c r="D1325" i="53" s="1"/>
  <c r="I16" i="31"/>
  <c r="J16" i="31" s="1"/>
  <c r="B56" i="53"/>
  <c r="B2138" i="53"/>
  <c r="B628" i="53"/>
  <c r="D628" i="53" s="1"/>
  <c r="T69" i="56"/>
  <c r="AC69" i="56" s="1"/>
  <c r="AI69" i="56" s="1"/>
  <c r="AJ69" i="56" s="1"/>
  <c r="T35" i="56"/>
  <c r="AC35" i="56" s="1"/>
  <c r="AI35" i="56" s="1"/>
  <c r="AJ35" i="56" s="1"/>
  <c r="T63" i="56"/>
  <c r="AC63" i="56" s="1"/>
  <c r="AI63" i="56" s="1"/>
  <c r="AJ63" i="56" s="1"/>
  <c r="B2479" i="53"/>
  <c r="D2479" i="53" s="1"/>
  <c r="B2482" i="53"/>
  <c r="D2482" i="53" s="1"/>
  <c r="B1755" i="53"/>
  <c r="B1875" i="53"/>
  <c r="AK10" i="11"/>
  <c r="AF55" i="11"/>
  <c r="B2636" i="53"/>
  <c r="X55" i="11"/>
  <c r="AE5" i="11"/>
  <c r="Y39" i="11"/>
  <c r="B2196" i="53"/>
  <c r="B871" i="53"/>
  <c r="B1743" i="53"/>
  <c r="D1743" i="53" s="1"/>
  <c r="B2552" i="53"/>
  <c r="Q35" i="24"/>
  <c r="Y35" i="24" s="1"/>
  <c r="AB35" i="24" s="1"/>
  <c r="AC35" i="24" s="1"/>
  <c r="Q28" i="24"/>
  <c r="Y28" i="24" s="1"/>
  <c r="AB28" i="24" s="1"/>
  <c r="AC28" i="24" s="1"/>
  <c r="B159" i="53"/>
  <c r="B696" i="53"/>
  <c r="B2452" i="53"/>
  <c r="D2452" i="53" s="1"/>
  <c r="B1993" i="53"/>
  <c r="B2693" i="53"/>
  <c r="D2693" i="53" s="1"/>
  <c r="D861" i="53"/>
  <c r="B1308" i="53"/>
  <c r="D2812" i="53"/>
  <c r="B28" i="53"/>
  <c r="B262" i="53"/>
  <c r="AH19" i="70"/>
  <c r="T6" i="56"/>
  <c r="AC6" i="56" s="1"/>
  <c r="AI6" i="56" s="1"/>
  <c r="AJ6" i="56" s="1"/>
  <c r="AJ5" i="56" s="1"/>
  <c r="W8" i="11"/>
  <c r="AB16" i="11"/>
  <c r="AG16" i="11"/>
  <c r="J23" i="31"/>
  <c r="I10" i="31"/>
  <c r="J10" i="31" s="1"/>
  <c r="AJ55" i="11"/>
  <c r="I56" i="31"/>
  <c r="K56" i="31" s="1"/>
  <c r="AJ60" i="11"/>
  <c r="AF60" i="11"/>
  <c r="B1659" i="53"/>
  <c r="D773" i="53"/>
  <c r="B1957" i="53"/>
  <c r="B2278" i="53"/>
  <c r="K9" i="31"/>
  <c r="J9" i="31"/>
  <c r="L9" i="31"/>
  <c r="AI6" i="11"/>
  <c r="Z6" i="11"/>
  <c r="AD6" i="11"/>
  <c r="AC6" i="11"/>
  <c r="AB6" i="11"/>
  <c r="W6" i="11"/>
  <c r="AJ6" i="11"/>
  <c r="Y6" i="11"/>
  <c r="I6" i="31"/>
  <c r="AE6" i="11"/>
  <c r="AF6" i="11"/>
  <c r="X6" i="11"/>
  <c r="AK6" i="11"/>
  <c r="AH6" i="11"/>
  <c r="AA6" i="11"/>
  <c r="AG6" i="11"/>
  <c r="AG48" i="70"/>
  <c r="B43" i="53"/>
  <c r="D43" i="53" s="1"/>
  <c r="AG6" i="70"/>
  <c r="B115" i="53"/>
  <c r="B79" i="53"/>
  <c r="K75" i="31"/>
  <c r="L75" i="31"/>
  <c r="B2367" i="53"/>
  <c r="B980" i="53"/>
  <c r="B259" i="53"/>
  <c r="AB19" i="70"/>
  <c r="B1986" i="53"/>
  <c r="B893" i="53"/>
  <c r="J59" i="31"/>
  <c r="K59" i="31"/>
  <c r="L59" i="31"/>
  <c r="B136" i="53"/>
  <c r="X17" i="11"/>
  <c r="AH17" i="11"/>
  <c r="AI17" i="11"/>
  <c r="Z17" i="11"/>
  <c r="W17" i="11"/>
  <c r="Y17" i="11"/>
  <c r="AE17" i="11"/>
  <c r="AC17" i="11"/>
  <c r="AF17" i="11"/>
  <c r="AK17" i="11"/>
  <c r="I17" i="31"/>
  <c r="AD17" i="11"/>
  <c r="AJ17" i="11"/>
  <c r="AG17" i="11"/>
  <c r="AB17" i="11"/>
  <c r="AA17" i="11"/>
  <c r="AC20" i="11"/>
  <c r="W20" i="11"/>
  <c r="AD20" i="11"/>
  <c r="Y20" i="11"/>
  <c r="AK20" i="11"/>
  <c r="AE20" i="11"/>
  <c r="AI20" i="11"/>
  <c r="AA20" i="11"/>
  <c r="X20" i="11"/>
  <c r="AF20" i="11"/>
  <c r="AB20" i="11"/>
  <c r="AJ20" i="11"/>
  <c r="AG20" i="11"/>
  <c r="Z20" i="11"/>
  <c r="AH20" i="11"/>
  <c r="I20" i="31"/>
  <c r="Q19" i="24"/>
  <c r="B654" i="53"/>
  <c r="D654" i="53" s="1"/>
  <c r="B1488" i="53"/>
  <c r="B47" i="53"/>
  <c r="D47" i="53" s="1"/>
  <c r="T76" i="56"/>
  <c r="AC76" i="56" s="1"/>
  <c r="AI76" i="56" s="1"/>
  <c r="AJ76" i="56" s="1"/>
  <c r="T70" i="56"/>
  <c r="AC70" i="56" s="1"/>
  <c r="AI70" i="56" s="1"/>
  <c r="AJ70" i="56" s="1"/>
  <c r="T11" i="56"/>
  <c r="AG5" i="11"/>
  <c r="W5" i="11"/>
  <c r="D1328" i="53"/>
  <c r="W34" i="56"/>
  <c r="Q48" i="24"/>
  <c r="Y48" i="24" s="1"/>
  <c r="AB48" i="24" s="1"/>
  <c r="AC48" i="24" s="1"/>
  <c r="B1593" i="53"/>
  <c r="D1593" i="53" s="1"/>
  <c r="N20" i="70"/>
  <c r="B247" i="53" s="1"/>
  <c r="B2244" i="53"/>
  <c r="D2244" i="53" s="1"/>
  <c r="D1922" i="53"/>
  <c r="T55" i="56"/>
  <c r="AC55" i="56" s="1"/>
  <c r="AI55" i="56" s="1"/>
  <c r="AJ55" i="56" s="1"/>
  <c r="T68" i="56"/>
  <c r="AC68" i="56" s="1"/>
  <c r="AI68" i="56" s="1"/>
  <c r="AJ68" i="56" s="1"/>
  <c r="AI60" i="11"/>
  <c r="Q47" i="24"/>
  <c r="Y47" i="24" s="1"/>
  <c r="AB47" i="24" s="1"/>
  <c r="AC47" i="24" s="1"/>
  <c r="B726" i="53"/>
  <c r="T75" i="56"/>
  <c r="AC75" i="56" s="1"/>
  <c r="AI75" i="56" s="1"/>
  <c r="AJ75" i="56" s="1"/>
  <c r="T32" i="56"/>
  <c r="AC32" i="56" s="1"/>
  <c r="AI32" i="56" s="1"/>
  <c r="AJ32" i="56" s="1"/>
  <c r="AD16" i="11"/>
  <c r="AK60" i="11"/>
  <c r="Y60" i="11"/>
  <c r="Y8" i="11"/>
  <c r="P83" i="1"/>
  <c r="B552" i="53"/>
  <c r="B2553" i="53"/>
  <c r="B1428" i="53"/>
  <c r="B1713" i="53"/>
  <c r="D1713" i="53" s="1"/>
  <c r="B2195" i="53"/>
  <c r="B2688" i="53"/>
  <c r="B1029" i="53"/>
  <c r="B2363" i="53"/>
  <c r="D2363" i="53" s="1"/>
  <c r="T23" i="56"/>
  <c r="AC23" i="56" s="1"/>
  <c r="AI23" i="56" s="1"/>
  <c r="AJ23" i="56" s="1"/>
  <c r="B1992" i="53"/>
  <c r="B1002" i="53"/>
  <c r="D1002" i="53" s="1"/>
  <c r="B915" i="53"/>
  <c r="D915" i="53" s="1"/>
  <c r="B2422" i="53"/>
  <c r="D2422" i="53" s="1"/>
  <c r="B1507" i="53"/>
  <c r="D1507" i="53" s="1"/>
  <c r="B571" i="53"/>
  <c r="D571" i="53" s="1"/>
  <c r="B1953" i="53"/>
  <c r="D1953" i="53" s="1"/>
  <c r="B512" i="53"/>
  <c r="D512" i="53" s="1"/>
  <c r="AP50" i="25"/>
  <c r="X50" i="70" s="1"/>
  <c r="B2517" i="53" s="1"/>
  <c r="B1835" i="53"/>
  <c r="D1835" i="53" s="1"/>
  <c r="AH6" i="70"/>
  <c r="T30" i="56"/>
  <c r="AC30" i="56" s="1"/>
  <c r="AI30" i="56" s="1"/>
  <c r="AJ30" i="56" s="1"/>
  <c r="AJ5" i="11"/>
  <c r="P98" i="1"/>
  <c r="AI16" i="11"/>
  <c r="Y16" i="11"/>
  <c r="AD55" i="11"/>
  <c r="AG55" i="11"/>
  <c r="X10" i="11"/>
  <c r="AC55" i="11"/>
  <c r="AB60" i="11"/>
  <c r="Z60" i="11"/>
  <c r="B841" i="53"/>
  <c r="D2512" i="53"/>
  <c r="AC34" i="11"/>
  <c r="W34" i="11"/>
  <c r="AE34" i="11"/>
  <c r="Z34" i="11"/>
  <c r="AI34" i="11"/>
  <c r="AG34" i="11"/>
  <c r="AA34" i="11"/>
  <c r="AJ34" i="11"/>
  <c r="AF34" i="11"/>
  <c r="AD34" i="11"/>
  <c r="AH34" i="11"/>
  <c r="AK34" i="11"/>
  <c r="X34" i="11"/>
  <c r="I35" i="31"/>
  <c r="Y34" i="11"/>
  <c r="AB34" i="11"/>
  <c r="L4" i="31"/>
  <c r="K4" i="31"/>
  <c r="J4" i="31"/>
  <c r="AJ32" i="11"/>
  <c r="AF32" i="11"/>
  <c r="AD32" i="11"/>
  <c r="W32" i="11"/>
  <c r="AI3" i="11"/>
  <c r="AH3" i="11"/>
  <c r="X3" i="11"/>
  <c r="I3" i="31"/>
  <c r="AB3" i="11"/>
  <c r="AJ3" i="11"/>
  <c r="AE3" i="11"/>
  <c r="Y3" i="11"/>
  <c r="Z3" i="11"/>
  <c r="AK3" i="11"/>
  <c r="AC3" i="11"/>
  <c r="W3" i="11"/>
  <c r="AF3" i="11"/>
  <c r="AD3" i="11"/>
  <c r="AA3" i="11"/>
  <c r="AG3" i="11"/>
  <c r="AG28" i="11"/>
  <c r="I28" i="31"/>
  <c r="X28" i="11"/>
  <c r="Z28" i="11"/>
  <c r="AB28" i="11"/>
  <c r="AA28" i="11"/>
  <c r="AI28" i="11"/>
  <c r="AJ28" i="11"/>
  <c r="AE28" i="11"/>
  <c r="AD28" i="11"/>
  <c r="W28" i="11"/>
  <c r="AK28" i="11"/>
  <c r="AC28" i="11"/>
  <c r="AF28" i="11"/>
  <c r="Y28" i="11"/>
  <c r="AH28" i="11"/>
  <c r="B145" i="53"/>
  <c r="B72" i="53"/>
  <c r="D72" i="53" s="1"/>
  <c r="AG64" i="11"/>
  <c r="W64" i="11"/>
  <c r="X64" i="11"/>
  <c r="AI64" i="11"/>
  <c r="Y64" i="11"/>
  <c r="AC64" i="11"/>
  <c r="AK64" i="11"/>
  <c r="AH64" i="11"/>
  <c r="AE64" i="11"/>
  <c r="Z64" i="11"/>
  <c r="AA64" i="11"/>
  <c r="AF64" i="11"/>
  <c r="AJ64" i="11"/>
  <c r="AB64" i="11"/>
  <c r="AD64" i="11"/>
  <c r="I65" i="31"/>
  <c r="AJ35" i="11"/>
  <c r="Z35" i="11"/>
  <c r="X35" i="11"/>
  <c r="AI35" i="11"/>
  <c r="AF41" i="11"/>
  <c r="AE41" i="11"/>
  <c r="AD41" i="11"/>
  <c r="AA41" i="11"/>
  <c r="I42" i="31"/>
  <c r="AG41" i="11"/>
  <c r="AB41" i="11"/>
  <c r="X41" i="11"/>
  <c r="Y41" i="11"/>
  <c r="Z41" i="11"/>
  <c r="W41" i="11"/>
  <c r="AJ41" i="11"/>
  <c r="AC41" i="11"/>
  <c r="AK41" i="11"/>
  <c r="AH41" i="11"/>
  <c r="AI41" i="11"/>
  <c r="AH55" i="11"/>
  <c r="W55" i="11"/>
  <c r="AA55" i="11"/>
  <c r="AI55" i="11"/>
  <c r="T74" i="56"/>
  <c r="AC74" i="56" s="1"/>
  <c r="AI74" i="56" s="1"/>
  <c r="AJ74" i="56" s="1"/>
  <c r="Q12" i="24"/>
  <c r="Y12" i="24" s="1"/>
  <c r="AB12" i="24" s="1"/>
  <c r="AC12" i="24" s="1"/>
  <c r="B41" i="53"/>
  <c r="T42" i="56"/>
  <c r="AC42" i="56" s="1"/>
  <c r="AC41" i="56" s="1"/>
  <c r="B516" i="53"/>
  <c r="AB55" i="11"/>
  <c r="B86" i="53"/>
  <c r="B1016" i="53"/>
  <c r="B1596" i="53"/>
  <c r="D1596" i="53" s="1"/>
  <c r="K23" i="31"/>
  <c r="Y5" i="11"/>
  <c r="AE39" i="11"/>
  <c r="I40" i="31"/>
  <c r="AK39" i="11"/>
  <c r="W39" i="11"/>
  <c r="AC39" i="11"/>
  <c r="AF39" i="11"/>
  <c r="AG39" i="11"/>
  <c r="X39" i="11"/>
  <c r="AJ39" i="11"/>
  <c r="AI39" i="11"/>
  <c r="Z39" i="11"/>
  <c r="AA39" i="11"/>
  <c r="AB39" i="11"/>
  <c r="P93" i="1"/>
  <c r="B2127" i="53"/>
  <c r="D2127" i="53" s="1"/>
  <c r="B2156" i="53"/>
  <c r="D2156" i="53" s="1"/>
  <c r="Q25" i="24"/>
  <c r="B2567" i="53"/>
  <c r="D1150" i="53"/>
  <c r="D2779" i="53"/>
  <c r="AE55" i="11"/>
  <c r="B690" i="53"/>
  <c r="B102" i="53"/>
  <c r="D102" i="53" s="1"/>
  <c r="I70" i="31"/>
  <c r="AE68" i="11"/>
  <c r="AB68" i="11"/>
  <c r="AC68" i="11"/>
  <c r="AA68" i="11"/>
  <c r="AI68" i="11"/>
  <c r="AD68" i="11"/>
  <c r="AK68" i="11"/>
  <c r="Y68" i="11"/>
  <c r="AG68" i="11"/>
  <c r="X68" i="11"/>
  <c r="AJ68" i="11"/>
  <c r="Z68" i="11"/>
  <c r="AF68" i="11"/>
  <c r="W68" i="11"/>
  <c r="P70" i="1"/>
  <c r="D540" i="53"/>
  <c r="T56" i="56"/>
  <c r="AC56" i="56" s="1"/>
  <c r="AI56" i="56" s="1"/>
  <c r="AJ56" i="56" s="1"/>
  <c r="B2274" i="53"/>
  <c r="D2274" i="53" s="1"/>
  <c r="B2008" i="53"/>
  <c r="D2008" i="53" s="1"/>
  <c r="B1815" i="53"/>
  <c r="D223" i="53"/>
  <c r="B2390" i="53"/>
  <c r="D2390" i="53" s="1"/>
  <c r="B947" i="53"/>
  <c r="D947" i="53" s="1"/>
  <c r="B928" i="53"/>
  <c r="B2522" i="53"/>
  <c r="N11" i="70"/>
  <c r="B2492" i="53"/>
  <c r="B657" i="53"/>
  <c r="D657" i="53" s="1"/>
  <c r="B54" i="53"/>
  <c r="Q32" i="24"/>
  <c r="Y32" i="24" s="1"/>
  <c r="AB32" i="24" s="1"/>
  <c r="AC32" i="24" s="1"/>
  <c r="Q41" i="24"/>
  <c r="Y41" i="24" s="1"/>
  <c r="AB41" i="24" s="1"/>
  <c r="AC41" i="24" s="1"/>
  <c r="T77" i="56"/>
  <c r="AC77" i="56" s="1"/>
  <c r="AI77" i="56" s="1"/>
  <c r="AJ77" i="56" s="1"/>
  <c r="X5" i="11"/>
  <c r="AE16" i="11"/>
  <c r="B545" i="53"/>
  <c r="Y55" i="11"/>
  <c r="AD10" i="11"/>
  <c r="AE60" i="11"/>
  <c r="AC10" i="11"/>
  <c r="L57" i="31"/>
  <c r="AH68" i="11"/>
  <c r="L64" i="31"/>
  <c r="B46" i="53"/>
  <c r="D46" i="53" s="1"/>
  <c r="P72" i="1"/>
  <c r="L73" i="31"/>
  <c r="J73" i="31"/>
  <c r="K73" i="31"/>
  <c r="B85" i="53"/>
  <c r="AD51" i="11"/>
  <c r="AA51" i="11"/>
  <c r="AH51" i="11"/>
  <c r="AG51" i="11"/>
  <c r="Z51" i="11"/>
  <c r="AK51" i="11"/>
  <c r="X51" i="11"/>
  <c r="Y51" i="11"/>
  <c r="I52" i="31"/>
  <c r="AB51" i="11"/>
  <c r="W51" i="11"/>
  <c r="AE51" i="11"/>
  <c r="AJ51" i="11"/>
  <c r="AF51" i="11"/>
  <c r="AI51" i="11"/>
  <c r="AC51" i="11"/>
  <c r="AG19" i="70"/>
  <c r="J49" i="31"/>
  <c r="D513" i="53"/>
  <c r="D2900" i="53"/>
  <c r="D1447" i="53"/>
  <c r="D1655" i="53"/>
  <c r="D2155" i="53"/>
  <c r="D2509" i="53"/>
  <c r="D1121" i="53"/>
  <c r="D1064" i="53"/>
  <c r="D1060" i="53"/>
  <c r="B3001" i="53"/>
  <c r="B1547" i="53"/>
  <c r="B2971" i="53"/>
  <c r="B3000" i="53"/>
  <c r="B2970" i="53"/>
  <c r="B1546" i="53"/>
  <c r="B2460" i="53"/>
  <c r="B839" i="53"/>
  <c r="B1537" i="53"/>
  <c r="B2961" i="53"/>
  <c r="B2991" i="53"/>
  <c r="B1533" i="53"/>
  <c r="B2957" i="53"/>
  <c r="B2987" i="53"/>
  <c r="B2160" i="53"/>
  <c r="B2516" i="53"/>
  <c r="B1217" i="53"/>
  <c r="B2990" i="53"/>
  <c r="B1536" i="53"/>
  <c r="B2960" i="53"/>
  <c r="N47" i="70"/>
  <c r="B131" i="53" s="1"/>
  <c r="B1531" i="53"/>
  <c r="B2955" i="53"/>
  <c r="B2985" i="53"/>
  <c r="AE61" i="11"/>
  <c r="AK61" i="11"/>
  <c r="I62" i="31"/>
  <c r="AI61" i="11"/>
  <c r="AG61" i="11"/>
  <c r="Y61" i="11"/>
  <c r="X61" i="11"/>
  <c r="AB61" i="11"/>
  <c r="AH61" i="11"/>
  <c r="AF61" i="11"/>
  <c r="AA61" i="11"/>
  <c r="AC61" i="11"/>
  <c r="AD61" i="11"/>
  <c r="W61" i="11"/>
  <c r="Z61" i="11"/>
  <c r="AJ61" i="11"/>
  <c r="AE69" i="11"/>
  <c r="AA69" i="11"/>
  <c r="Z69" i="11"/>
  <c r="AC69" i="11"/>
  <c r="AI69" i="11"/>
  <c r="AJ69" i="11"/>
  <c r="W69" i="11"/>
  <c r="AH69" i="11"/>
  <c r="AK69" i="11"/>
  <c r="AB69" i="11"/>
  <c r="AF69" i="11"/>
  <c r="I71" i="31"/>
  <c r="X69" i="11"/>
  <c r="AD69" i="11"/>
  <c r="Y69" i="11"/>
  <c r="AG69" i="11"/>
  <c r="I8" i="31"/>
  <c r="AB8" i="11"/>
  <c r="AK8" i="11"/>
  <c r="AI8" i="11"/>
  <c r="AH8" i="11"/>
  <c r="AE8" i="11"/>
  <c r="Z8" i="11"/>
  <c r="AF8" i="11"/>
  <c r="AD8" i="11"/>
  <c r="AG8" i="11"/>
  <c r="AJ8" i="11"/>
  <c r="B2939" i="53"/>
  <c r="B2909" i="53"/>
  <c r="B1129" i="53"/>
  <c r="AD57" i="11"/>
  <c r="X57" i="11"/>
  <c r="AH57" i="11"/>
  <c r="AE57" i="11"/>
  <c r="AJ57" i="11"/>
  <c r="AG57" i="11"/>
  <c r="AF57" i="11"/>
  <c r="AK57" i="11"/>
  <c r="Z57" i="11"/>
  <c r="AI57" i="11"/>
  <c r="AB57" i="11"/>
  <c r="AC57" i="11"/>
  <c r="I58" i="31"/>
  <c r="AA57" i="11"/>
  <c r="W57" i="11"/>
  <c r="Y57" i="11"/>
  <c r="AF40" i="11"/>
  <c r="AI40" i="11"/>
  <c r="AB40" i="11"/>
  <c r="Y40" i="11"/>
  <c r="I41" i="31"/>
  <c r="AC40" i="11"/>
  <c r="AA40" i="11"/>
  <c r="Z40" i="11"/>
  <c r="W40" i="11"/>
  <c r="AH40" i="11"/>
  <c r="AK40" i="11"/>
  <c r="AE40" i="11"/>
  <c r="AD40" i="11"/>
  <c r="X40" i="11"/>
  <c r="AJ40" i="11"/>
  <c r="AG40" i="11"/>
  <c r="B2463" i="53"/>
  <c r="B1220" i="53"/>
  <c r="AP13" i="25"/>
  <c r="X13" i="70" s="1"/>
  <c r="Z13" i="70" s="1"/>
  <c r="P86" i="1"/>
  <c r="BL94" i="6"/>
  <c r="BL95" i="6"/>
  <c r="BL96" i="6"/>
  <c r="BP95" i="6"/>
  <c r="BP96" i="6"/>
  <c r="BT95" i="6"/>
  <c r="BT96" i="6"/>
  <c r="P94" i="1"/>
  <c r="P85" i="1"/>
  <c r="P84" i="1"/>
  <c r="B1421" i="53"/>
  <c r="B574" i="53"/>
  <c r="B1391" i="53"/>
  <c r="B632" i="53"/>
  <c r="B1570" i="53"/>
  <c r="AP51" i="25"/>
  <c r="X51" i="70" s="1"/>
  <c r="B51" i="53" s="1"/>
  <c r="B1686" i="53"/>
  <c r="Q49" i="24"/>
  <c r="Y49" i="24" s="1"/>
  <c r="AB49" i="24" s="1"/>
  <c r="AC49" i="24" s="1"/>
  <c r="B1770" i="53"/>
  <c r="AP23" i="25"/>
  <c r="W40" i="56" s="1"/>
  <c r="B2752" i="53"/>
  <c r="D2752" i="53" s="1"/>
  <c r="B2783" i="53"/>
  <c r="D2783" i="53" s="1"/>
  <c r="B2912" i="53"/>
  <c r="D772" i="53"/>
  <c r="D1979" i="53"/>
  <c r="B2180" i="53"/>
  <c r="B2538" i="53"/>
  <c r="B2568" i="53"/>
  <c r="B2813" i="53"/>
  <c r="D2813" i="53" s="1"/>
  <c r="B2809" i="53"/>
  <c r="D2809" i="53" s="1"/>
  <c r="B2719" i="53"/>
  <c r="D2719" i="53" s="1"/>
  <c r="B1147" i="53"/>
  <c r="D1147" i="53" s="1"/>
  <c r="B2931" i="53"/>
  <c r="D2931" i="53" s="1"/>
  <c r="P95" i="1"/>
  <c r="D1982" i="53"/>
  <c r="D600" i="53"/>
  <c r="D774" i="53"/>
  <c r="D1444" i="53"/>
  <c r="B697" i="53"/>
  <c r="B870" i="53"/>
  <c r="Q16" i="24"/>
  <c r="Y16" i="24" s="1"/>
  <c r="AB16" i="24" s="1"/>
  <c r="AC16" i="24" s="1"/>
  <c r="B1074" i="53"/>
  <c r="B2763" i="53"/>
  <c r="B1118" i="53"/>
  <c r="D1118" i="53" s="1"/>
  <c r="B2898" i="53"/>
  <c r="D2898" i="53" s="1"/>
  <c r="D2571" i="53"/>
  <c r="AP34" i="25"/>
  <c r="X35" i="70" s="1"/>
  <c r="B1720" i="53" s="1"/>
  <c r="T27" i="56"/>
  <c r="B740" i="53"/>
  <c r="B2269" i="53"/>
  <c r="T71" i="56"/>
  <c r="AC71" i="56" s="1"/>
  <c r="AI71" i="56" s="1"/>
  <c r="AJ71" i="56" s="1"/>
  <c r="B2433" i="53"/>
  <c r="B2215" i="53"/>
  <c r="D2215" i="53" s="1"/>
  <c r="B2659" i="53"/>
  <c r="D2659" i="53" s="1"/>
  <c r="B681" i="53"/>
  <c r="B2599" i="53"/>
  <c r="D2599" i="53" s="1"/>
  <c r="B1249" i="53"/>
  <c r="D2569" i="53"/>
  <c r="B919" i="53"/>
  <c r="D919" i="53" s="1"/>
  <c r="B2692" i="53"/>
  <c r="D2692" i="53" s="1"/>
  <c r="B1034" i="53"/>
  <c r="D1034" i="53" s="1"/>
  <c r="T39" i="56"/>
  <c r="AC39" i="56" s="1"/>
  <c r="AI39" i="56" s="1"/>
  <c r="AJ39" i="56" s="1"/>
  <c r="B2643" i="53"/>
  <c r="Q8" i="24"/>
  <c r="Y8" i="24" s="1"/>
  <c r="AB8" i="24" s="1"/>
  <c r="AC8" i="24" s="1"/>
  <c r="B2022" i="53"/>
  <c r="T73" i="56"/>
  <c r="AC73" i="56" s="1"/>
  <c r="AI73" i="56" s="1"/>
  <c r="AJ73" i="56" s="1"/>
  <c r="B813" i="53"/>
  <c r="B2753" i="53"/>
  <c r="D2753" i="53" s="1"/>
  <c r="B2209" i="53"/>
  <c r="B1656" i="53"/>
  <c r="D1656" i="53" s="1"/>
  <c r="B2541" i="53"/>
  <c r="D2541" i="53" s="1"/>
  <c r="B2184" i="53"/>
  <c r="D2184" i="53" s="1"/>
  <c r="B2642" i="53"/>
  <c r="B2722" i="53"/>
  <c r="D2722" i="53" s="1"/>
  <c r="B2094" i="53"/>
  <c r="B2539" i="53"/>
  <c r="D2539" i="53" s="1"/>
  <c r="B884" i="53"/>
  <c r="B1591" i="53"/>
  <c r="B625" i="53"/>
  <c r="D625" i="53" s="1"/>
  <c r="B1862" i="53"/>
  <c r="D1862" i="53" s="1"/>
  <c r="B2602" i="53"/>
  <c r="D2602" i="53" s="1"/>
  <c r="B1132" i="53"/>
  <c r="B2358" i="53"/>
  <c r="B1063" i="53"/>
  <c r="D1063" i="53" s="1"/>
  <c r="B2911" i="53"/>
  <c r="M46" i="70"/>
  <c r="N46" i="70" s="1"/>
  <c r="AD47" i="11"/>
  <c r="AJ47" i="11"/>
  <c r="W47" i="11"/>
  <c r="AA47" i="11"/>
  <c r="AG47" i="11"/>
  <c r="AC47" i="11"/>
  <c r="AE47" i="11"/>
  <c r="AH47" i="11"/>
  <c r="AB47" i="11"/>
  <c r="Z47" i="11"/>
  <c r="X47" i="11"/>
  <c r="AI47" i="11"/>
  <c r="AK47" i="11"/>
  <c r="I48" i="31"/>
  <c r="Y47" i="11"/>
  <c r="AF47" i="11"/>
  <c r="I51" i="31"/>
  <c r="AA50" i="11"/>
  <c r="AF50" i="11"/>
  <c r="X50" i="11"/>
  <c r="AC50" i="11"/>
  <c r="AK50" i="11"/>
  <c r="AJ50" i="11"/>
  <c r="AI50" i="11"/>
  <c r="AG50" i="11"/>
  <c r="Y50" i="11"/>
  <c r="Z50" i="11"/>
  <c r="W50" i="11"/>
  <c r="AD50" i="11"/>
  <c r="AH50" i="11"/>
  <c r="AE50" i="11"/>
  <c r="AB50" i="11"/>
  <c r="AP35" i="25"/>
  <c r="X36" i="70" s="1"/>
  <c r="B1810" i="53" s="1"/>
  <c r="AP27" i="25"/>
  <c r="X29" i="70" s="1"/>
  <c r="B517" i="53" s="1"/>
  <c r="B1869" i="53"/>
  <c r="B806" i="53"/>
  <c r="AE53" i="11"/>
  <c r="AI53" i="11"/>
  <c r="I54" i="31"/>
  <c r="W53" i="11"/>
  <c r="Y53" i="11"/>
  <c r="Z53" i="11"/>
  <c r="AF53" i="11"/>
  <c r="AK53" i="11"/>
  <c r="AJ53" i="11"/>
  <c r="AG53" i="11"/>
  <c r="AD53" i="11"/>
  <c r="AH53" i="11"/>
  <c r="AC53" i="11"/>
  <c r="X53" i="11"/>
  <c r="AA53" i="11"/>
  <c r="AB53" i="11"/>
  <c r="AD59" i="11"/>
  <c r="AK59" i="11"/>
  <c r="AJ59" i="11"/>
  <c r="W59" i="11"/>
  <c r="AG59" i="11"/>
  <c r="X59" i="11"/>
  <c r="AF59" i="11"/>
  <c r="AA59" i="11"/>
  <c r="AI59" i="11"/>
  <c r="AB59" i="11"/>
  <c r="Y59" i="11"/>
  <c r="Z59" i="11"/>
  <c r="I60" i="31"/>
  <c r="AE59" i="11"/>
  <c r="AH59" i="11"/>
  <c r="AC59" i="11"/>
  <c r="AJ16" i="11"/>
  <c r="AK16" i="11"/>
  <c r="W16" i="11"/>
  <c r="AP10" i="25"/>
  <c r="X10" i="70" s="1"/>
  <c r="Z10" i="70" s="1"/>
  <c r="T7" i="56"/>
  <c r="AC7" i="56" s="1"/>
  <c r="AI7" i="56" s="1"/>
  <c r="AJ7" i="56" s="1"/>
  <c r="Q23" i="24"/>
  <c r="Y23" i="24" s="1"/>
  <c r="AB23" i="24" s="1"/>
  <c r="AC23" i="24" s="1"/>
  <c r="AK65" i="11"/>
  <c r="AA65" i="11"/>
  <c r="X65" i="11"/>
  <c r="AI65" i="11"/>
  <c r="AB65" i="11"/>
  <c r="AD65" i="11"/>
  <c r="AH65" i="11"/>
  <c r="Z65" i="11"/>
  <c r="AC65" i="11"/>
  <c r="I66" i="31"/>
  <c r="W65" i="11"/>
  <c r="AF65" i="11"/>
  <c r="AJ65" i="11"/>
  <c r="AE65" i="11"/>
  <c r="Y65" i="11"/>
  <c r="AG65" i="11"/>
  <c r="AI62" i="11"/>
  <c r="W62" i="11"/>
  <c r="X62" i="11"/>
  <c r="AJ62" i="11"/>
  <c r="AE62" i="11"/>
  <c r="AF62" i="11"/>
  <c r="AG62" i="11"/>
  <c r="AB62" i="11"/>
  <c r="AH62" i="11"/>
  <c r="I63" i="31"/>
  <c r="AC62" i="11"/>
  <c r="Z62" i="11"/>
  <c r="AA62" i="11"/>
  <c r="AK62" i="11"/>
  <c r="Y62" i="11"/>
  <c r="AD62" i="11"/>
  <c r="B2703" i="53"/>
  <c r="B2882" i="53"/>
  <c r="Q45" i="56"/>
  <c r="B2523" i="53"/>
  <c r="T18" i="56"/>
  <c r="AC18" i="56" s="1"/>
  <c r="AI18" i="56" s="1"/>
  <c r="AJ18" i="56" s="1"/>
  <c r="T8" i="56"/>
  <c r="AC8" i="56" s="1"/>
  <c r="AI8" i="56" s="1"/>
  <c r="AJ8" i="56" s="1"/>
  <c r="T79" i="56"/>
  <c r="AC79" i="56" s="1"/>
  <c r="AI79" i="56" s="1"/>
  <c r="AJ79" i="56" s="1"/>
  <c r="T57" i="56"/>
  <c r="AC57" i="56" s="1"/>
  <c r="AI57" i="56" s="1"/>
  <c r="AJ57" i="56" s="1"/>
  <c r="D2629" i="53"/>
  <c r="B1801" i="53"/>
  <c r="B2167" i="53"/>
  <c r="B1103" i="53"/>
  <c r="B2823" i="53"/>
  <c r="B2572" i="53"/>
  <c r="D2572" i="53" s="1"/>
  <c r="B1775" i="53"/>
  <c r="D1775" i="53" s="1"/>
  <c r="B744" i="53"/>
  <c r="D744" i="53" s="1"/>
  <c r="B2793" i="53"/>
  <c r="B2093" i="53"/>
  <c r="B2901" i="53"/>
  <c r="D2901" i="53" s="1"/>
  <c r="B1800" i="53"/>
  <c r="B275" i="53"/>
  <c r="B739" i="53"/>
  <c r="D2631" i="53"/>
  <c r="B2388" i="53"/>
  <c r="B2182" i="53"/>
  <c r="D2182" i="53" s="1"/>
  <c r="D2632" i="53"/>
  <c r="AD18" i="11"/>
  <c r="AA18" i="11"/>
  <c r="AI18" i="11"/>
  <c r="AC18" i="11"/>
  <c r="X18" i="11"/>
  <c r="AK18" i="11"/>
  <c r="W18" i="11"/>
  <c r="AG18" i="11"/>
  <c r="AH18" i="11"/>
  <c r="AB18" i="11"/>
  <c r="I18" i="31"/>
  <c r="AJ18" i="11"/>
  <c r="AE18" i="11"/>
  <c r="Z18" i="11"/>
  <c r="Y18" i="11"/>
  <c r="AF18" i="11"/>
  <c r="K31" i="31"/>
  <c r="J31" i="31"/>
  <c r="L31" i="31"/>
  <c r="L32" i="31"/>
  <c r="K32" i="31"/>
  <c r="J32" i="31"/>
  <c r="B1478" i="53"/>
  <c r="D1478" i="53" s="1"/>
  <c r="B1567" i="53"/>
  <c r="D1567" i="53" s="1"/>
  <c r="B1179" i="53"/>
  <c r="D1179" i="53" s="1"/>
  <c r="B2782" i="53"/>
  <c r="D2782" i="53" s="1"/>
  <c r="B1131" i="53"/>
  <c r="AE49" i="11"/>
  <c r="X49" i="11"/>
  <c r="AG49" i="11"/>
  <c r="AJ49" i="11"/>
  <c r="AD49" i="11"/>
  <c r="AK49" i="11"/>
  <c r="AF49" i="11"/>
  <c r="AB49" i="11"/>
  <c r="Z49" i="11"/>
  <c r="AH49" i="11"/>
  <c r="Y49" i="11"/>
  <c r="AC49" i="11"/>
  <c r="W49" i="11"/>
  <c r="I50" i="31"/>
  <c r="AI49" i="11"/>
  <c r="AA49" i="11"/>
  <c r="AC43" i="11"/>
  <c r="I44" i="31"/>
  <c r="AJ43" i="11"/>
  <c r="AI43" i="11"/>
  <c r="AD43" i="11"/>
  <c r="W43" i="11"/>
  <c r="Z43" i="11"/>
  <c r="AG43" i="11"/>
  <c r="AF43" i="11"/>
  <c r="AH43" i="11"/>
  <c r="X43" i="11"/>
  <c r="AE43" i="11"/>
  <c r="AA43" i="11"/>
  <c r="Y43" i="11"/>
  <c r="AB43" i="11"/>
  <c r="AK43" i="11"/>
  <c r="K29" i="31"/>
  <c r="L29" i="31"/>
  <c r="J29" i="31"/>
  <c r="B2786" i="53"/>
  <c r="B1183" i="53"/>
  <c r="B2816" i="53"/>
  <c r="J37" i="31"/>
  <c r="AH7" i="11"/>
  <c r="AJ7" i="11"/>
  <c r="X7" i="11"/>
  <c r="Y7" i="11"/>
  <c r="AD7" i="11"/>
  <c r="AF7" i="11"/>
  <c r="AK7" i="11"/>
  <c r="AI7" i="11"/>
  <c r="AA7" i="11"/>
  <c r="I7" i="31"/>
  <c r="AG7" i="11"/>
  <c r="AE7" i="11"/>
  <c r="AC7" i="11"/>
  <c r="Z7" i="11"/>
  <c r="AB7" i="11"/>
  <c r="W7" i="11"/>
  <c r="W13" i="11"/>
  <c r="AD13" i="11"/>
  <c r="Y13" i="11"/>
  <c r="AI13" i="11"/>
  <c r="AG13" i="11"/>
  <c r="AB13" i="11"/>
  <c r="AC13" i="11"/>
  <c r="I13" i="31"/>
  <c r="AJ13" i="11"/>
  <c r="AE13" i="11"/>
  <c r="AK13" i="11"/>
  <c r="X13" i="11"/>
  <c r="AF13" i="11"/>
  <c r="AA13" i="11"/>
  <c r="Z13" i="11"/>
  <c r="AH13" i="11"/>
  <c r="B2225" i="53"/>
  <c r="N13" i="70"/>
  <c r="B1696" i="53"/>
  <c r="N18" i="70"/>
  <c r="B2673" i="53"/>
  <c r="B2732" i="53"/>
  <c r="B984" i="53"/>
  <c r="B2371" i="53"/>
  <c r="AJ27" i="11"/>
  <c r="AH27" i="11"/>
  <c r="AK27" i="11"/>
  <c r="AC27" i="11"/>
  <c r="Y27" i="11"/>
  <c r="AF27" i="11"/>
  <c r="W27" i="11"/>
  <c r="Z27" i="11"/>
  <c r="I27" i="31"/>
  <c r="X27" i="11"/>
  <c r="AE27" i="11"/>
  <c r="AD27" i="11"/>
  <c r="AG27" i="11"/>
  <c r="AI27" i="11"/>
  <c r="AB27" i="11"/>
  <c r="AA27" i="11"/>
  <c r="AC37" i="11"/>
  <c r="I38" i="31"/>
  <c r="AG37" i="11"/>
  <c r="AB37" i="11"/>
  <c r="AK37" i="11"/>
  <c r="W37" i="11"/>
  <c r="Y37" i="11"/>
  <c r="Z37" i="11"/>
  <c r="AH37" i="11"/>
  <c r="AI37" i="11"/>
  <c r="AF37" i="11"/>
  <c r="X37" i="11"/>
  <c r="AE37" i="11"/>
  <c r="AJ37" i="11"/>
  <c r="AD37" i="11"/>
  <c r="AA37" i="11"/>
  <c r="B719" i="53"/>
  <c r="B1719" i="53"/>
  <c r="B1749" i="53"/>
  <c r="AI19" i="11"/>
  <c r="AD19" i="11"/>
  <c r="AF19" i="11"/>
  <c r="W19" i="11"/>
  <c r="AA19" i="11"/>
  <c r="Z19" i="11"/>
  <c r="AE19" i="11"/>
  <c r="AB19" i="11"/>
  <c r="AG19" i="11"/>
  <c r="X19" i="11"/>
  <c r="Y19" i="11"/>
  <c r="AH19" i="11"/>
  <c r="AC19" i="11"/>
  <c r="AK19" i="11"/>
  <c r="I19" i="31"/>
  <c r="AJ19" i="11"/>
  <c r="L34" i="31"/>
  <c r="K34" i="31"/>
  <c r="J34" i="31"/>
  <c r="B1448" i="53"/>
  <c r="D1448" i="53" s="1"/>
  <c r="Q14" i="24"/>
  <c r="B1045" i="53"/>
  <c r="N42" i="70"/>
  <c r="B629" i="53"/>
  <c r="D629" i="53" s="1"/>
  <c r="B889" i="53"/>
  <c r="D889" i="53" s="1"/>
  <c r="B1504" i="53"/>
  <c r="D1504" i="53" s="1"/>
  <c r="B2537" i="53"/>
  <c r="D890" i="53"/>
  <c r="B1073" i="53"/>
  <c r="B17" i="53"/>
  <c r="D17" i="53" s="1"/>
  <c r="B1160" i="53"/>
  <c r="W66" i="11"/>
  <c r="AD66" i="11"/>
  <c r="AB66" i="11"/>
  <c r="Y66" i="11"/>
  <c r="AF66" i="11"/>
  <c r="AA66" i="11"/>
  <c r="Z66" i="11"/>
  <c r="AH66" i="11"/>
  <c r="X66" i="11"/>
  <c r="AG66" i="11"/>
  <c r="I67" i="31"/>
  <c r="AJ66" i="11"/>
  <c r="AK66" i="11"/>
  <c r="AI66" i="11"/>
  <c r="AC66" i="11"/>
  <c r="AE66" i="11"/>
  <c r="B2905" i="53"/>
  <c r="B1125" i="53"/>
  <c r="B2935" i="53"/>
  <c r="L22" i="31"/>
  <c r="J22" i="31"/>
  <c r="K22" i="31"/>
  <c r="K10" i="31"/>
  <c r="L56" i="31"/>
  <c r="J56" i="31"/>
  <c r="K15" i="31"/>
  <c r="L15" i="31"/>
  <c r="J15" i="31"/>
  <c r="L68" i="31"/>
  <c r="K68" i="31"/>
  <c r="J68" i="31"/>
  <c r="B652" i="53"/>
  <c r="B2389" i="53"/>
  <c r="B971" i="53"/>
  <c r="B972" i="53"/>
  <c r="B523" i="53"/>
  <c r="B1309" i="53"/>
  <c r="B1102" i="53"/>
  <c r="B2723" i="53"/>
  <c r="D2723" i="53" s="1"/>
  <c r="B1151" i="53"/>
  <c r="D1151" i="53" s="1"/>
  <c r="AP41" i="25"/>
  <c r="X42" i="70" s="1"/>
  <c r="B1987" i="53" s="1"/>
  <c r="B1093" i="53"/>
  <c r="B2842" i="53"/>
  <c r="B2633" i="53"/>
  <c r="D2633" i="53" s="1"/>
  <c r="B2603" i="53"/>
  <c r="D2603" i="53" s="1"/>
  <c r="B2841" i="53"/>
  <c r="B1092" i="53"/>
  <c r="B2035" i="53"/>
  <c r="B942" i="53"/>
  <c r="N43" i="70"/>
  <c r="B2239" i="53"/>
  <c r="B1948" i="53"/>
  <c r="B1031" i="53"/>
  <c r="D1031" i="53" s="1"/>
  <c r="B2689" i="53"/>
  <c r="D2689" i="53" s="1"/>
  <c r="B2792" i="53"/>
  <c r="B1189" i="53"/>
  <c r="BS49" i="17"/>
  <c r="N37" i="24" s="1"/>
  <c r="O37" i="24"/>
  <c r="B2511" i="53"/>
  <c r="D2511" i="53" s="1"/>
  <c r="B2481" i="53"/>
  <c r="D2481" i="53" s="1"/>
  <c r="B1843" i="53"/>
  <c r="B25" i="53"/>
  <c r="B1158" i="53"/>
  <c r="B2019" i="53"/>
  <c r="B1425" i="53"/>
  <c r="B1395" i="53"/>
  <c r="B926" i="53"/>
  <c r="B2730" i="53"/>
  <c r="B1071" i="53"/>
  <c r="B665" i="53"/>
  <c r="B2106" i="53"/>
  <c r="B1604" i="53"/>
  <c r="B1042" i="53"/>
  <c r="B2700" i="53"/>
  <c r="B1246" i="53"/>
  <c r="B2790" i="53"/>
  <c r="B1873" i="53"/>
  <c r="B1753" i="53"/>
  <c r="B1723" i="53"/>
  <c r="B2820" i="53"/>
  <c r="B1693" i="53"/>
  <c r="B2430" i="53"/>
  <c r="B1663" i="53"/>
  <c r="F135" i="54"/>
  <c r="Z50" i="24" s="1"/>
  <c r="B1455" i="53"/>
  <c r="B1485" i="53"/>
  <c r="B2193" i="53"/>
  <c r="B2550" i="53"/>
  <c r="B2135" i="53"/>
  <c r="B1013" i="53"/>
  <c r="B2490" i="53"/>
  <c r="B2520" i="53"/>
  <c r="B2164" i="53"/>
  <c r="P26" i="70"/>
  <c r="T26" i="70" s="1"/>
  <c r="B427" i="53" s="1"/>
  <c r="O38" i="24"/>
  <c r="B2273" i="53"/>
  <c r="D2273" i="53" s="1"/>
  <c r="B2039" i="53"/>
  <c r="D2039" i="53" s="1"/>
  <c r="B858" i="53"/>
  <c r="D858" i="53" s="1"/>
  <c r="B1952" i="53"/>
  <c r="D1952" i="53" s="1"/>
  <c r="B1893" i="53"/>
  <c r="D1893" i="53" s="1"/>
  <c r="D3022" i="53"/>
  <c r="B2243" i="53"/>
  <c r="D2243" i="53" s="1"/>
  <c r="N33" i="70"/>
  <c r="B2151" i="53"/>
  <c r="N34" i="70"/>
  <c r="B1592" i="53" s="1"/>
  <c r="B1866" i="53"/>
  <c r="D1866" i="53" s="1"/>
  <c r="B1860" i="53"/>
  <c r="N25" i="70"/>
  <c r="D3112" i="53"/>
  <c r="B1299" i="53"/>
  <c r="D1299" i="53" s="1"/>
  <c r="B623" i="53"/>
  <c r="B826" i="53"/>
  <c r="B1983" i="53"/>
  <c r="D1983" i="53" s="1"/>
  <c r="B362" i="53"/>
  <c r="B1269" i="53"/>
  <c r="D1269" i="53" s="1"/>
  <c r="B2930" i="53"/>
  <c r="D2930" i="53" s="1"/>
  <c r="B1561" i="53"/>
  <c r="B1625" i="53"/>
  <c r="D1625" i="53" s="1"/>
  <c r="BS42" i="17"/>
  <c r="P43" i="70" s="1"/>
  <c r="B945" i="53" s="1"/>
  <c r="D945" i="53" s="1"/>
  <c r="AP24" i="25"/>
  <c r="W31" i="56" s="1"/>
  <c r="AP29" i="25"/>
  <c r="X31" i="70" s="1"/>
  <c r="B1392" i="53" s="1"/>
  <c r="AP30" i="25"/>
  <c r="X32" i="70" s="1"/>
  <c r="Z32" i="70" s="1"/>
  <c r="AP33" i="25"/>
  <c r="X18" i="70" s="1"/>
  <c r="Z18" i="70" s="1"/>
  <c r="AP14" i="25"/>
  <c r="X14" i="70" s="1"/>
  <c r="Z14" i="70" s="1"/>
  <c r="BS41" i="17"/>
  <c r="P42" i="70" s="1"/>
  <c r="B1294" i="53"/>
  <c r="B1264" i="53"/>
  <c r="B1263" i="53"/>
  <c r="Q42" i="70"/>
  <c r="B888" i="53" s="1"/>
  <c r="D888" i="53" s="1"/>
  <c r="N38" i="70"/>
  <c r="B1861" i="53" s="1"/>
  <c r="B1836" i="53"/>
  <c r="D1836" i="53" s="1"/>
  <c r="B1293" i="53"/>
  <c r="B507" i="53"/>
  <c r="O45" i="24"/>
  <c r="D3082" i="53"/>
  <c r="B1145" i="53"/>
  <c r="BX35" i="17"/>
  <c r="B714" i="53"/>
  <c r="D714" i="53" s="1"/>
  <c r="Q28" i="56"/>
  <c r="Q61" i="56"/>
  <c r="T61" i="56" s="1"/>
  <c r="AC61" i="56" s="1"/>
  <c r="AI61" i="56" s="1"/>
  <c r="AJ61" i="56" s="1"/>
  <c r="BX21" i="17"/>
  <c r="BY21" i="17" s="1"/>
  <c r="Q21" i="70"/>
  <c r="T21" i="70" s="1"/>
  <c r="B282" i="53" s="1"/>
  <c r="O31" i="24"/>
  <c r="D2305" i="53"/>
  <c r="B1120" i="53"/>
  <c r="D1120" i="53" s="1"/>
  <c r="B768" i="53"/>
  <c r="N37" i="70"/>
  <c r="Q38" i="70"/>
  <c r="B2717" i="53"/>
  <c r="BS45" i="17"/>
  <c r="P46" i="70" s="1"/>
  <c r="AK20" i="25"/>
  <c r="AN20" i="25" s="1"/>
  <c r="Q27" i="24"/>
  <c r="Y27" i="24" s="1"/>
  <c r="AB27" i="24" s="1"/>
  <c r="AC27" i="24" s="1"/>
  <c r="AP32" i="25"/>
  <c r="X34" i="70" s="1"/>
  <c r="Z34" i="70" s="1"/>
  <c r="AP31" i="25"/>
  <c r="X33" i="70" s="1"/>
  <c r="Z33" i="70" s="1"/>
  <c r="B1744" i="53"/>
  <c r="D1744" i="53" s="1"/>
  <c r="N31" i="70"/>
  <c r="B566" i="53" s="1"/>
  <c r="N50" i="70"/>
  <c r="Q29" i="70"/>
  <c r="B511" i="53" s="1"/>
  <c r="D511" i="53" s="1"/>
  <c r="B2507" i="53"/>
  <c r="T35" i="70"/>
  <c r="B1747" i="53" s="1"/>
  <c r="N30" i="24"/>
  <c r="P37" i="56"/>
  <c r="B1382" i="53"/>
  <c r="AK46" i="25"/>
  <c r="AN46" i="25" s="1"/>
  <c r="AP46" i="25" s="1"/>
  <c r="B1925" i="53"/>
  <c r="D1925" i="53" s="1"/>
  <c r="N16" i="70"/>
  <c r="B2718" i="53" s="1"/>
  <c r="B1412" i="53"/>
  <c r="BS13" i="17"/>
  <c r="P14" i="70" s="1"/>
  <c r="O30" i="24"/>
  <c r="N30" i="70"/>
  <c r="B537" i="53" s="1"/>
  <c r="Q52" i="56"/>
  <c r="BS52" i="17"/>
  <c r="BS28" i="17"/>
  <c r="P29" i="70" s="1"/>
  <c r="B1296" i="53" s="1"/>
  <c r="D1296" i="53" s="1"/>
  <c r="B2007" i="53"/>
  <c r="B569" i="53"/>
  <c r="D569" i="53" s="1"/>
  <c r="B914" i="53"/>
  <c r="B2601" i="53"/>
  <c r="D2601" i="53" s="1"/>
  <c r="B2747" i="53"/>
  <c r="AP22" i="25"/>
  <c r="W36" i="56" s="1"/>
  <c r="M22" i="70"/>
  <c r="B1472" i="53"/>
  <c r="B2777" i="53"/>
  <c r="B1356" i="53"/>
  <c r="D1356" i="53" s="1"/>
  <c r="AJ20" i="25"/>
  <c r="AM20" i="25" s="1"/>
  <c r="W60" i="56"/>
  <c r="B913" i="53"/>
  <c r="B1327" i="53"/>
  <c r="D1327" i="53" s="1"/>
  <c r="M38" i="56"/>
  <c r="N38" i="56" s="1"/>
  <c r="K31" i="24"/>
  <c r="Q37" i="56"/>
  <c r="BS26" i="17"/>
  <c r="AP39" i="25"/>
  <c r="X40" i="70" s="1"/>
  <c r="Z40" i="70" s="1"/>
  <c r="B2006" i="53"/>
  <c r="T12" i="70"/>
  <c r="B166" i="53" s="1"/>
  <c r="Q38" i="56"/>
  <c r="AP21" i="25"/>
  <c r="Q22" i="70"/>
  <c r="B536" i="53"/>
  <c r="BS31" i="17"/>
  <c r="Q32" i="70"/>
  <c r="B1352" i="53"/>
  <c r="Q51" i="56"/>
  <c r="Q27" i="70"/>
  <c r="B453" i="53" s="1"/>
  <c r="D453" i="53" s="1"/>
  <c r="Q40" i="70"/>
  <c r="B830" i="53" s="1"/>
  <c r="D830" i="53" s="1"/>
  <c r="BS39" i="17"/>
  <c r="BS27" i="17"/>
  <c r="BX27" i="17" s="1"/>
  <c r="O21" i="24"/>
  <c r="Q24" i="70"/>
  <c r="B366" i="53" s="1"/>
  <c r="D366" i="53" s="1"/>
  <c r="BS23" i="17"/>
  <c r="BS43" i="17"/>
  <c r="Q44" i="70"/>
  <c r="AP7" i="25"/>
  <c r="X7" i="70" s="1"/>
  <c r="Q52" i="70"/>
  <c r="B104" i="53" s="1"/>
  <c r="D104" i="53" s="1"/>
  <c r="BS51" i="17"/>
  <c r="P37" i="70"/>
  <c r="BX36" i="17"/>
  <c r="D2071" i="53"/>
  <c r="AP19" i="25"/>
  <c r="T22" i="24" s="1"/>
  <c r="B218" i="53"/>
  <c r="N32" i="70"/>
  <c r="B1442" i="53"/>
  <c r="B363" i="53"/>
  <c r="D3052" i="53"/>
  <c r="B1416" i="53"/>
  <c r="D1416" i="53" s="1"/>
  <c r="B656" i="53"/>
  <c r="D656" i="53" s="1"/>
  <c r="AP52" i="25"/>
  <c r="X52" i="70" s="1"/>
  <c r="Z52" i="70" s="1"/>
  <c r="B2840" i="53"/>
  <c r="B1091" i="53"/>
  <c r="B2870" i="53"/>
  <c r="T11" i="70"/>
  <c r="B449" i="53"/>
  <c r="N27" i="70"/>
  <c r="N26" i="70"/>
  <c r="B420" i="53"/>
  <c r="P38" i="70"/>
  <c r="BX37" i="17"/>
  <c r="BY37" i="17" s="1"/>
  <c r="B1803" i="53"/>
  <c r="D1803" i="53" s="1"/>
  <c r="B1773" i="53"/>
  <c r="D1773" i="53" s="1"/>
  <c r="N52" i="70"/>
  <c r="B1174" i="53"/>
  <c r="B2483" i="53"/>
  <c r="D2483" i="53" s="1"/>
  <c r="B2157" i="53"/>
  <c r="D2157" i="53" s="1"/>
  <c r="B2513" i="53"/>
  <c r="D2513" i="53" s="1"/>
  <c r="N10" i="56"/>
  <c r="P31" i="70"/>
  <c r="BX30" i="17"/>
  <c r="B2186" i="53"/>
  <c r="D2186" i="53" s="1"/>
  <c r="B2543" i="53"/>
  <c r="D2543" i="53" s="1"/>
  <c r="B2573" i="53"/>
  <c r="D2573" i="53" s="1"/>
  <c r="L29" i="24"/>
  <c r="B2757" i="53"/>
  <c r="B1068" i="53"/>
  <c r="B2727" i="53"/>
  <c r="B1155" i="53"/>
  <c r="Z16" i="70"/>
  <c r="T40" i="24"/>
  <c r="W48" i="56"/>
  <c r="X9" i="70"/>
  <c r="BX32" i="17"/>
  <c r="BY32" i="17" s="1"/>
  <c r="P33" i="70"/>
  <c r="BS15" i="17"/>
  <c r="P16" i="70" s="1"/>
  <c r="Q16" i="70"/>
  <c r="B1716" i="53"/>
  <c r="D1716" i="53" s="1"/>
  <c r="B1746" i="53"/>
  <c r="D1746" i="53" s="1"/>
  <c r="B716" i="53"/>
  <c r="D716" i="53" s="1"/>
  <c r="B1776" i="53"/>
  <c r="D1776" i="53" s="1"/>
  <c r="B745" i="53"/>
  <c r="D745" i="53" s="1"/>
  <c r="P31" i="56"/>
  <c r="T31" i="56" s="1"/>
  <c r="BX24" i="17"/>
  <c r="N24" i="24"/>
  <c r="Q24" i="24" s="1"/>
  <c r="P25" i="70"/>
  <c r="BY34" i="17"/>
  <c r="P30" i="70"/>
  <c r="BX29" i="17"/>
  <c r="BY29" i="17" s="1"/>
  <c r="B2447" i="53"/>
  <c r="B2417" i="53"/>
  <c r="B2122" i="53"/>
  <c r="N49" i="70"/>
  <c r="B1000" i="53"/>
  <c r="B827" i="53"/>
  <c r="D166" i="53"/>
  <c r="BS16" i="17"/>
  <c r="Q17" i="70"/>
  <c r="Q72" i="56"/>
  <c r="BS14" i="17"/>
  <c r="P15" i="70" s="1"/>
  <c r="Q15" i="70"/>
  <c r="B2394" i="53"/>
  <c r="D2394" i="53" s="1"/>
  <c r="B977" i="53"/>
  <c r="D977" i="53" s="1"/>
  <c r="B2099" i="53"/>
  <c r="D2099" i="53" s="1"/>
  <c r="B2364" i="53"/>
  <c r="D2364" i="53" s="1"/>
  <c r="B1233" i="53"/>
  <c r="N7" i="70"/>
  <c r="B1204" i="53"/>
  <c r="B1740" i="53"/>
  <c r="B1710" i="53"/>
  <c r="N35" i="70"/>
  <c r="B710" i="53"/>
  <c r="AP49" i="25"/>
  <c r="X49" i="70" s="1"/>
  <c r="D2335" i="53"/>
  <c r="B1683" i="53"/>
  <c r="B1653" i="53"/>
  <c r="D1653" i="53" s="1"/>
  <c r="B684" i="53"/>
  <c r="N50" i="56"/>
  <c r="B1840" i="53"/>
  <c r="B778" i="53"/>
  <c r="Z37" i="70"/>
  <c r="Z15" i="70"/>
  <c r="B2667" i="53"/>
  <c r="B1039" i="53"/>
  <c r="B2697" i="53"/>
  <c r="AJ45" i="25"/>
  <c r="AM45" i="25" s="1"/>
  <c r="AK45" i="25"/>
  <c r="AN45" i="25" s="1"/>
  <c r="M45" i="70"/>
  <c r="B70" i="53" s="1"/>
  <c r="AP53" i="25"/>
  <c r="X53" i="70" s="1"/>
  <c r="L42" i="24"/>
  <c r="N31" i="56"/>
  <c r="U31" i="56" s="1"/>
  <c r="B2219" i="53"/>
  <c r="B276" i="53"/>
  <c r="N53" i="70"/>
  <c r="B2896" i="53"/>
  <c r="B1116" i="53"/>
  <c r="B807" i="53"/>
  <c r="B1870" i="53"/>
  <c r="Z38" i="70"/>
  <c r="B1122" i="53"/>
  <c r="D1122" i="53" s="1"/>
  <c r="B2902" i="53"/>
  <c r="D2902" i="53" s="1"/>
  <c r="B2932" i="53"/>
  <c r="D2932" i="53" s="1"/>
  <c r="B100" i="53"/>
  <c r="N10" i="70"/>
  <c r="B2249" i="53"/>
  <c r="B1958" i="53"/>
  <c r="B2279" i="53"/>
  <c r="Z43" i="70"/>
  <c r="B2045" i="53"/>
  <c r="B952" i="53"/>
  <c r="B1899" i="53"/>
  <c r="B2016" i="53" l="1"/>
  <c r="B923" i="53"/>
  <c r="D1537" i="53"/>
  <c r="Q29" i="24"/>
  <c r="D1093" i="53"/>
  <c r="Y25" i="24"/>
  <c r="AB25" i="24" s="1"/>
  <c r="AC25" i="24" s="1"/>
  <c r="AC27" i="56"/>
  <c r="AI27" i="56" s="1"/>
  <c r="AJ27" i="56" s="1"/>
  <c r="D1091" i="53"/>
  <c r="D2957" i="53"/>
  <c r="Y19" i="24"/>
  <c r="AB19" i="24" s="1"/>
  <c r="AC19" i="24" s="1"/>
  <c r="D2840" i="53"/>
  <c r="D2842" i="53"/>
  <c r="D2838" i="53"/>
  <c r="D1092" i="53"/>
  <c r="D135" i="53"/>
  <c r="D2841" i="53"/>
  <c r="D2960" i="53"/>
  <c r="D2961" i="53"/>
  <c r="D2871" i="53"/>
  <c r="D2870" i="53"/>
  <c r="D2987" i="53"/>
  <c r="AB54" i="70"/>
  <c r="D2958" i="53"/>
  <c r="D1089" i="53"/>
  <c r="Y14" i="24"/>
  <c r="Y13" i="24" s="1"/>
  <c r="K55" i="31"/>
  <c r="N40" i="24"/>
  <c r="Q40" i="24" s="1"/>
  <c r="P8" i="70"/>
  <c r="T8" i="70" s="1"/>
  <c r="D129" i="71"/>
  <c r="D124" i="71"/>
  <c r="D126" i="71"/>
  <c r="D132" i="71"/>
  <c r="D131" i="71"/>
  <c r="D134" i="71"/>
  <c r="D130" i="71"/>
  <c r="D127" i="71"/>
  <c r="D133" i="71"/>
  <c r="D128" i="71"/>
  <c r="D125" i="71"/>
  <c r="D135" i="71"/>
  <c r="B2845" i="53"/>
  <c r="B2875" i="53"/>
  <c r="B1096" i="53"/>
  <c r="D684" i="53"/>
  <c r="L49" i="31"/>
  <c r="L55" i="31"/>
  <c r="D136" i="53"/>
  <c r="Y20" i="24"/>
  <c r="AB20" i="24" s="1"/>
  <c r="AC20" i="24" s="1"/>
  <c r="D683" i="53"/>
  <c r="D2868" i="53"/>
  <c r="V29" i="56"/>
  <c r="AE29" i="56"/>
  <c r="L29" i="56"/>
  <c r="G57" i="69"/>
  <c r="H56" i="69"/>
  <c r="L11" i="24"/>
  <c r="AE28" i="56"/>
  <c r="L28" i="56"/>
  <c r="V28" i="56"/>
  <c r="Q11" i="24"/>
  <c r="Y11" i="24" s="1"/>
  <c r="Y10" i="24" s="1"/>
  <c r="D1533" i="53"/>
  <c r="Y39" i="24"/>
  <c r="AB39" i="24" s="1"/>
  <c r="AC39" i="24" s="1"/>
  <c r="Q15" i="24"/>
  <c r="Y15" i="24" s="1"/>
  <c r="AB15" i="24" s="1"/>
  <c r="AC15" i="24" s="1"/>
  <c r="D132" i="53"/>
  <c r="Z8" i="70"/>
  <c r="L9" i="24"/>
  <c r="F61" i="69"/>
  <c r="F62" i="69" s="1"/>
  <c r="G60" i="69"/>
  <c r="N29" i="56"/>
  <c r="U29" i="56" s="1"/>
  <c r="L13" i="56"/>
  <c r="AE13" i="56"/>
  <c r="V13" i="56"/>
  <c r="AC13" i="56" s="1"/>
  <c r="AC12" i="56" s="1"/>
  <c r="AE9" i="56"/>
  <c r="L9" i="56"/>
  <c r="V9" i="56"/>
  <c r="AC9" i="56" s="1"/>
  <c r="AI9" i="56" s="1"/>
  <c r="AJ9" i="56" s="1"/>
  <c r="B245" i="53"/>
  <c r="K37" i="31"/>
  <c r="D1536" i="53"/>
  <c r="D2991" i="53"/>
  <c r="D686" i="53"/>
  <c r="D134" i="53"/>
  <c r="L17" i="56"/>
  <c r="AE17" i="56"/>
  <c r="G36" i="69"/>
  <c r="G37" i="69" s="1"/>
  <c r="H35" i="69"/>
  <c r="L27" i="56"/>
  <c r="AE27" i="56"/>
  <c r="Z47" i="70"/>
  <c r="B2994" i="53"/>
  <c r="B2964" i="53"/>
  <c r="B1540" i="53"/>
  <c r="D1684" i="53"/>
  <c r="V26" i="56"/>
  <c r="AC26" i="56" s="1"/>
  <c r="AI26" i="56" s="1"/>
  <c r="AJ26" i="56" s="1"/>
  <c r="L26" i="56"/>
  <c r="AE26" i="56"/>
  <c r="N26" i="56"/>
  <c r="D1683" i="53"/>
  <c r="D1686" i="53"/>
  <c r="AE11" i="56"/>
  <c r="L11" i="56"/>
  <c r="V11" i="56"/>
  <c r="AC11" i="56" s="1"/>
  <c r="AI11" i="56" s="1"/>
  <c r="AJ11" i="56" s="1"/>
  <c r="BX44" i="17"/>
  <c r="D2990" i="53"/>
  <c r="BX19" i="17"/>
  <c r="BY19" i="17" s="1"/>
  <c r="AE16" i="56"/>
  <c r="L16" i="56"/>
  <c r="V16" i="56"/>
  <c r="AC16" i="56" s="1"/>
  <c r="H23" i="69"/>
  <c r="H24" i="69" s="1"/>
  <c r="I22" i="69"/>
  <c r="I23" i="69" s="1"/>
  <c r="I24" i="69" s="1"/>
  <c r="L19" i="24"/>
  <c r="B477" i="53"/>
  <c r="V28" i="70"/>
  <c r="W28" i="70"/>
  <c r="B487" i="53" s="1"/>
  <c r="N17" i="56"/>
  <c r="B1506" i="53"/>
  <c r="D1506" i="53" s="1"/>
  <c r="B627" i="53"/>
  <c r="D627" i="53" s="1"/>
  <c r="T46" i="56"/>
  <c r="AC46" i="56" s="1"/>
  <c r="AI46" i="56" s="1"/>
  <c r="AJ46" i="56" s="1"/>
  <c r="Z12" i="70"/>
  <c r="BX50" i="17"/>
  <c r="P50" i="70"/>
  <c r="B2154" i="53" s="1"/>
  <c r="D2154" i="53" s="1"/>
  <c r="P51" i="70"/>
  <c r="B44" i="53" s="1"/>
  <c r="D44" i="53" s="1"/>
  <c r="B73" i="53"/>
  <c r="D73" i="53" s="1"/>
  <c r="B685" i="53"/>
  <c r="D685" i="53" s="1"/>
  <c r="B1654" i="53"/>
  <c r="D1654" i="53" s="1"/>
  <c r="B2600" i="53"/>
  <c r="D2600" i="53" s="1"/>
  <c r="T18" i="70"/>
  <c r="B688" i="53" s="1"/>
  <c r="T59" i="56"/>
  <c r="AC59" i="56" s="1"/>
  <c r="AI59" i="56" s="1"/>
  <c r="AJ59" i="56" s="1"/>
  <c r="Q38" i="24"/>
  <c r="Y38" i="24" s="1"/>
  <c r="AB38" i="24" s="1"/>
  <c r="AC38" i="24" s="1"/>
  <c r="T13" i="70"/>
  <c r="B195" i="53" s="1"/>
  <c r="P50" i="56"/>
  <c r="T50" i="56" s="1"/>
  <c r="P10" i="70"/>
  <c r="T10" i="70" s="1"/>
  <c r="P34" i="70"/>
  <c r="B1594" i="53" s="1"/>
  <c r="D1594" i="53" s="1"/>
  <c r="D1598" i="53" s="1"/>
  <c r="N45" i="24"/>
  <c r="Q45" i="24" s="1"/>
  <c r="Y45" i="24" s="1"/>
  <c r="AB45" i="24" s="1"/>
  <c r="AC45" i="24" s="1"/>
  <c r="N26" i="24"/>
  <c r="Q26" i="24" s="1"/>
  <c r="P7" i="70"/>
  <c r="T7" i="70" s="1"/>
  <c r="BX42" i="17"/>
  <c r="P20" i="70"/>
  <c r="B249" i="53" s="1"/>
  <c r="B743" i="53"/>
  <c r="D743" i="53" s="1"/>
  <c r="D746" i="53" s="1"/>
  <c r="P53" i="56"/>
  <c r="T53" i="56" s="1"/>
  <c r="AC53" i="56" s="1"/>
  <c r="AI53" i="56" s="1"/>
  <c r="AJ53" i="56" s="1"/>
  <c r="Q9" i="24"/>
  <c r="Y9" i="24" s="1"/>
  <c r="AB9" i="24" s="1"/>
  <c r="AC9" i="24" s="1"/>
  <c r="B1774" i="53"/>
  <c r="D1774" i="53" s="1"/>
  <c r="D1777" i="53" s="1"/>
  <c r="B2421" i="53"/>
  <c r="D2421" i="53" s="1"/>
  <c r="B1004" i="53"/>
  <c r="D1004" i="53" s="1"/>
  <c r="T49" i="70"/>
  <c r="B2424" i="53" s="1"/>
  <c r="B2126" i="53"/>
  <c r="D2126" i="53" s="1"/>
  <c r="T36" i="70"/>
  <c r="B1777" i="53" s="1"/>
  <c r="P48" i="56"/>
  <c r="T48" i="56" s="1"/>
  <c r="T23" i="70"/>
  <c r="B340" i="53" s="1"/>
  <c r="B336" i="53"/>
  <c r="D336" i="53" s="1"/>
  <c r="D340" i="53" s="1"/>
  <c r="X28" i="70"/>
  <c r="B488" i="53" s="1"/>
  <c r="B256" i="53"/>
  <c r="B1923" i="53"/>
  <c r="D1923" i="53" s="1"/>
  <c r="D1926" i="53" s="1"/>
  <c r="T26" i="24"/>
  <c r="T41" i="70"/>
  <c r="B862" i="53" s="1"/>
  <c r="B133" i="53"/>
  <c r="D133" i="53" s="1"/>
  <c r="B1273" i="53"/>
  <c r="X26" i="70"/>
  <c r="B430" i="53" s="1"/>
  <c r="W50" i="56"/>
  <c r="X11" i="70"/>
  <c r="Z11" i="70" s="1"/>
  <c r="B2450" i="53"/>
  <c r="D2450" i="53" s="1"/>
  <c r="B2420" i="53"/>
  <c r="D2420" i="53" s="1"/>
  <c r="B2988" i="53"/>
  <c r="D2988" i="53" s="1"/>
  <c r="T43" i="24"/>
  <c r="B981" i="53"/>
  <c r="B2103" i="53"/>
  <c r="Z44" i="70"/>
  <c r="B2368" i="53"/>
  <c r="B2547" i="53"/>
  <c r="B2577" i="53"/>
  <c r="B865" i="53"/>
  <c r="B1208" i="53"/>
  <c r="D1208" i="53" s="1"/>
  <c r="B2959" i="53"/>
  <c r="D2959" i="53" s="1"/>
  <c r="B1929" i="53"/>
  <c r="Z51" i="70"/>
  <c r="Y22" i="24"/>
  <c r="AB22" i="24" s="1"/>
  <c r="AC22" i="24" s="1"/>
  <c r="B1534" i="53"/>
  <c r="D1534" i="53" s="1"/>
  <c r="B2190" i="53"/>
  <c r="Z27" i="70"/>
  <c r="B1535" i="53"/>
  <c r="D1535" i="53" s="1"/>
  <c r="B1003" i="53"/>
  <c r="D1003" i="53" s="1"/>
  <c r="B2989" i="53"/>
  <c r="D2989" i="53" s="1"/>
  <c r="B2125" i="53"/>
  <c r="D2125" i="53" s="1"/>
  <c r="P60" i="56"/>
  <c r="T60" i="56" s="1"/>
  <c r="T47" i="70"/>
  <c r="B2992" i="53" s="1"/>
  <c r="W33" i="56"/>
  <c r="AI5" i="56"/>
  <c r="Y46" i="24"/>
  <c r="AB46" i="24" s="1"/>
  <c r="AC46" i="24" s="1"/>
  <c r="B22" i="53"/>
  <c r="B2487" i="53"/>
  <c r="L43" i="31"/>
  <c r="J43" i="31"/>
  <c r="K43" i="31"/>
  <c r="K12" i="31"/>
  <c r="J12" i="31"/>
  <c r="L39" i="31"/>
  <c r="K39" i="31"/>
  <c r="J39" i="31"/>
  <c r="L21" i="31"/>
  <c r="D862" i="53"/>
  <c r="K21" i="31"/>
  <c r="K16" i="31"/>
  <c r="AH54" i="70"/>
  <c r="W52" i="56"/>
  <c r="K36" i="31"/>
  <c r="L16" i="31"/>
  <c r="AC5" i="56"/>
  <c r="J30" i="31"/>
  <c r="K30" i="31"/>
  <c r="L30" i="31"/>
  <c r="L53" i="31"/>
  <c r="J53" i="31"/>
  <c r="K53" i="31"/>
  <c r="T44" i="24"/>
  <c r="X25" i="70"/>
  <c r="B401" i="53" s="1"/>
  <c r="J36" i="31"/>
  <c r="L14" i="31"/>
  <c r="K14" i="31"/>
  <c r="J14" i="31"/>
  <c r="K45" i="31"/>
  <c r="L45" i="31"/>
  <c r="J45" i="31"/>
  <c r="AI42" i="56"/>
  <c r="AJ42" i="56" s="1"/>
  <c r="AJ41" i="56" s="1"/>
  <c r="K46" i="31"/>
  <c r="J46" i="31"/>
  <c r="L46" i="31"/>
  <c r="AB6" i="24"/>
  <c r="AC6" i="24" s="1"/>
  <c r="AC5" i="24" s="1"/>
  <c r="AC34" i="56"/>
  <c r="AI34" i="56" s="1"/>
  <c r="AJ34" i="56" s="1"/>
  <c r="L10" i="31"/>
  <c r="K20" i="31"/>
  <c r="L20" i="31"/>
  <c r="J20" i="31"/>
  <c r="J35" i="31"/>
  <c r="L35" i="31"/>
  <c r="K35" i="31"/>
  <c r="AG54" i="70"/>
  <c r="J6" i="31"/>
  <c r="K6" i="31"/>
  <c r="L6" i="31"/>
  <c r="J61" i="31"/>
  <c r="L61" i="31"/>
  <c r="K61" i="31"/>
  <c r="B110" i="53"/>
  <c r="X24" i="70"/>
  <c r="B372" i="53" s="1"/>
  <c r="Z50" i="70"/>
  <c r="K52" i="31"/>
  <c r="J52" i="31"/>
  <c r="L52" i="31"/>
  <c r="K65" i="31"/>
  <c r="J65" i="31"/>
  <c r="L65" i="31"/>
  <c r="J28" i="31"/>
  <c r="L28" i="31"/>
  <c r="K28" i="31"/>
  <c r="AB34" i="24"/>
  <c r="AB33" i="24" s="1"/>
  <c r="B198" i="53"/>
  <c r="B2161" i="53"/>
  <c r="J70" i="31"/>
  <c r="K70" i="31"/>
  <c r="L70" i="31"/>
  <c r="L5" i="31"/>
  <c r="K5" i="31"/>
  <c r="J5" i="31"/>
  <c r="K40" i="31"/>
  <c r="L40" i="31"/>
  <c r="J40" i="31"/>
  <c r="T24" i="24"/>
  <c r="Y24" i="24" s="1"/>
  <c r="AB24" i="24" s="1"/>
  <c r="AC24" i="24" s="1"/>
  <c r="B2152" i="53"/>
  <c r="B13" i="53"/>
  <c r="J42" i="31"/>
  <c r="L42" i="31"/>
  <c r="K42" i="31"/>
  <c r="J3" i="31"/>
  <c r="K3" i="31"/>
  <c r="L3" i="31"/>
  <c r="J17" i="31"/>
  <c r="L17" i="31"/>
  <c r="K17" i="31"/>
  <c r="J71" i="31"/>
  <c r="K71" i="31"/>
  <c r="L71" i="31"/>
  <c r="B2956" i="53"/>
  <c r="B2986" i="53"/>
  <c r="B1532" i="53"/>
  <c r="J62" i="31"/>
  <c r="L62" i="31"/>
  <c r="K62" i="31"/>
  <c r="K41" i="31"/>
  <c r="L41" i="31"/>
  <c r="J41" i="31"/>
  <c r="K58" i="31"/>
  <c r="J58" i="31"/>
  <c r="L58" i="31"/>
  <c r="L8" i="31"/>
  <c r="J8" i="31"/>
  <c r="K8" i="31"/>
  <c r="B1780" i="53"/>
  <c r="B1303" i="53"/>
  <c r="W28" i="56"/>
  <c r="T21" i="24"/>
  <c r="AB18" i="24"/>
  <c r="AB17" i="24" s="1"/>
  <c r="AI25" i="56"/>
  <c r="AJ25" i="56" s="1"/>
  <c r="AJ24" i="56" s="1"/>
  <c r="Z35" i="70"/>
  <c r="AP20" i="25"/>
  <c r="T30" i="24" s="1"/>
  <c r="Z36" i="70"/>
  <c r="B1750" i="53"/>
  <c r="B720" i="53"/>
  <c r="B894" i="53"/>
  <c r="Q37" i="24"/>
  <c r="Y37" i="24" s="1"/>
  <c r="AB37" i="24" s="1"/>
  <c r="AC37" i="24" s="1"/>
  <c r="B682" i="53"/>
  <c r="B2866" i="53"/>
  <c r="B1562" i="53"/>
  <c r="B624" i="53"/>
  <c r="B798" i="53"/>
  <c r="B392" i="53"/>
  <c r="B1681" i="53"/>
  <c r="B749" i="53"/>
  <c r="B1601" i="53"/>
  <c r="B1651" i="53"/>
  <c r="D1807" i="53"/>
  <c r="B1503" i="53"/>
  <c r="Z29" i="70"/>
  <c r="Z42" i="70"/>
  <c r="B189" i="53"/>
  <c r="D195" i="53" s="1"/>
  <c r="B1512" i="53"/>
  <c r="B1571" i="53"/>
  <c r="B653" i="53"/>
  <c r="T46" i="70"/>
  <c r="J48" i="31"/>
  <c r="K48" i="31"/>
  <c r="L48" i="31"/>
  <c r="J60" i="31"/>
  <c r="L60" i="31"/>
  <c r="K60" i="31"/>
  <c r="J51" i="31"/>
  <c r="K51" i="31"/>
  <c r="L51" i="31"/>
  <c r="X46" i="70"/>
  <c r="B1097" i="53" s="1"/>
  <c r="J63" i="31"/>
  <c r="L63" i="31"/>
  <c r="K63" i="31"/>
  <c r="J66" i="31"/>
  <c r="K66" i="31"/>
  <c r="L66" i="31"/>
  <c r="J54" i="31"/>
  <c r="K54" i="31"/>
  <c r="L54" i="31"/>
  <c r="L27" i="31"/>
  <c r="K27" i="31"/>
  <c r="J27" i="31"/>
  <c r="J67" i="31"/>
  <c r="L67" i="31"/>
  <c r="K67" i="31"/>
  <c r="L13" i="31"/>
  <c r="K13" i="31"/>
  <c r="J13" i="31"/>
  <c r="L18" i="31"/>
  <c r="K18" i="31"/>
  <c r="J18" i="31"/>
  <c r="B885" i="53"/>
  <c r="B1978" i="53"/>
  <c r="J19" i="31"/>
  <c r="K19" i="31"/>
  <c r="L19" i="31"/>
  <c r="J38" i="31"/>
  <c r="L38" i="31"/>
  <c r="K38" i="31"/>
  <c r="L7" i="31"/>
  <c r="K7" i="31"/>
  <c r="J7" i="31"/>
  <c r="K44" i="31"/>
  <c r="L44" i="31"/>
  <c r="J44" i="31"/>
  <c r="L50" i="31"/>
  <c r="J50" i="31"/>
  <c r="K50" i="31"/>
  <c r="B1890" i="53"/>
  <c r="B2270" i="53"/>
  <c r="B2240" i="53"/>
  <c r="B1949" i="53"/>
  <c r="B2036" i="53"/>
  <c r="B943" i="53"/>
  <c r="D949" i="53" s="1"/>
  <c r="BX49" i="17"/>
  <c r="P45" i="56"/>
  <c r="T45" i="56" s="1"/>
  <c r="AC45" i="56" s="1"/>
  <c r="AI45" i="56" s="1"/>
  <c r="AJ45" i="56" s="1"/>
  <c r="B423" i="53"/>
  <c r="D423" i="53" s="1"/>
  <c r="B279" i="53"/>
  <c r="D279" i="53" s="1"/>
  <c r="D282" i="53" s="1"/>
  <c r="BX41" i="17"/>
  <c r="B2242" i="53"/>
  <c r="D2242" i="53" s="1"/>
  <c r="B1622" i="53"/>
  <c r="B2836" i="53"/>
  <c r="B604" i="53"/>
  <c r="B1951" i="53"/>
  <c r="D1951" i="53" s="1"/>
  <c r="B662" i="53"/>
  <c r="B1631" i="53"/>
  <c r="B140" i="53"/>
  <c r="B2867" i="53"/>
  <c r="B2748" i="53"/>
  <c r="B691" i="53"/>
  <c r="B1087" i="53"/>
  <c r="B1146" i="53"/>
  <c r="B1690" i="53"/>
  <c r="B1660" i="53"/>
  <c r="B769" i="53"/>
  <c r="BY35" i="17"/>
  <c r="B1267" i="53"/>
  <c r="D1267" i="53" s="1"/>
  <c r="B575" i="53"/>
  <c r="Z31" i="70"/>
  <c r="B227" i="53"/>
  <c r="B1981" i="53"/>
  <c r="D1981" i="53" s="1"/>
  <c r="B1422" i="53"/>
  <c r="T43" i="70"/>
  <c r="B2038" i="53"/>
  <c r="D2038" i="53" s="1"/>
  <c r="B510" i="53"/>
  <c r="D510" i="53" s="1"/>
  <c r="D514" i="53" s="1"/>
  <c r="B1892" i="53"/>
  <c r="D1892" i="53" s="1"/>
  <c r="B2272" i="53"/>
  <c r="D2272" i="53" s="1"/>
  <c r="T29" i="24"/>
  <c r="B717" i="53"/>
  <c r="B1297" i="53"/>
  <c r="D1297" i="53" s="1"/>
  <c r="D1300" i="53" s="1"/>
  <c r="B1452" i="53"/>
  <c r="B1717" i="53"/>
  <c r="B1482" i="53"/>
  <c r="B42" i="53"/>
  <c r="B633" i="53"/>
  <c r="B1413" i="53"/>
  <c r="B1831" i="53"/>
  <c r="T29" i="70"/>
  <c r="B514" i="53" s="1"/>
  <c r="B1383" i="53"/>
  <c r="T37" i="56"/>
  <c r="B1864" i="53"/>
  <c r="D1864" i="53" s="1"/>
  <c r="B801" i="53"/>
  <c r="D801" i="53" s="1"/>
  <c r="BX45" i="17"/>
  <c r="Q30" i="24"/>
  <c r="B1059" i="53"/>
  <c r="B1266" i="53"/>
  <c r="D1266" i="53" s="1"/>
  <c r="T38" i="56"/>
  <c r="B1324" i="53"/>
  <c r="B1353" i="53"/>
  <c r="B2508" i="53"/>
  <c r="B2478" i="53"/>
  <c r="N44" i="24"/>
  <c r="Q44" i="24" s="1"/>
  <c r="P52" i="56"/>
  <c r="T52" i="56" s="1"/>
  <c r="BX28" i="17"/>
  <c r="P53" i="70"/>
  <c r="BX52" i="17"/>
  <c r="W29" i="56"/>
  <c r="N22" i="70"/>
  <c r="B304" i="53"/>
  <c r="B2817" i="53"/>
  <c r="B836" i="53"/>
  <c r="L31" i="24"/>
  <c r="Q31" i="24"/>
  <c r="X21" i="70"/>
  <c r="Z21" i="70" s="1"/>
  <c r="P27" i="70"/>
  <c r="B452" i="53" s="1"/>
  <c r="D452" i="53" s="1"/>
  <c r="P51" i="56"/>
  <c r="T51" i="56" s="1"/>
  <c r="AC51" i="56" s="1"/>
  <c r="AI51" i="56" s="1"/>
  <c r="AJ51" i="56" s="1"/>
  <c r="N43" i="24"/>
  <c r="Q43" i="24" s="1"/>
  <c r="BX26" i="17"/>
  <c r="BY26" i="17" s="1"/>
  <c r="B1184" i="53"/>
  <c r="B2787" i="53"/>
  <c r="T22" i="70"/>
  <c r="B311" i="53" s="1"/>
  <c r="B308" i="53"/>
  <c r="D308" i="53" s="1"/>
  <c r="T31" i="24"/>
  <c r="W38" i="56"/>
  <c r="X23" i="70"/>
  <c r="B2362" i="53"/>
  <c r="D2362" i="53" s="1"/>
  <c r="B975" i="53"/>
  <c r="D975" i="53" s="1"/>
  <c r="B2392" i="53"/>
  <c r="D2392" i="53" s="1"/>
  <c r="B2097" i="53"/>
  <c r="D2097" i="53" s="1"/>
  <c r="P24" i="70"/>
  <c r="P40" i="56"/>
  <c r="T40" i="56" s="1"/>
  <c r="AC40" i="56" s="1"/>
  <c r="AI40" i="56" s="1"/>
  <c r="AJ40" i="56" s="1"/>
  <c r="BX23" i="17"/>
  <c r="P40" i="70"/>
  <c r="B1446" i="53"/>
  <c r="D1446" i="53" s="1"/>
  <c r="B1476" i="53"/>
  <c r="D1476" i="53" s="1"/>
  <c r="B598" i="53"/>
  <c r="D598" i="53" s="1"/>
  <c r="P44" i="70"/>
  <c r="BX43" i="17"/>
  <c r="BX31" i="17"/>
  <c r="P32" i="70"/>
  <c r="P28" i="56"/>
  <c r="T28" i="56" s="1"/>
  <c r="P28" i="70"/>
  <c r="N21" i="24"/>
  <c r="Q21" i="24" s="1"/>
  <c r="P52" i="70"/>
  <c r="B103" i="53" s="1"/>
  <c r="D103" i="53" s="1"/>
  <c r="BX51" i="17"/>
  <c r="B2781" i="53"/>
  <c r="D2781" i="53" s="1"/>
  <c r="B2811" i="53"/>
  <c r="D2811" i="53" s="1"/>
  <c r="B1178" i="53"/>
  <c r="D1178" i="53" s="1"/>
  <c r="BY36" i="17"/>
  <c r="B1214" i="53"/>
  <c r="B1243" i="53"/>
  <c r="B1833" i="53"/>
  <c r="D1833" i="53" s="1"/>
  <c r="B771" i="53"/>
  <c r="D771" i="53" s="1"/>
  <c r="T37" i="70"/>
  <c r="B1443" i="53"/>
  <c r="B1473" i="53"/>
  <c r="B595" i="53"/>
  <c r="B220" i="53"/>
  <c r="D220" i="53" s="1"/>
  <c r="D224" i="53" s="1"/>
  <c r="T14" i="70"/>
  <c r="B800" i="53"/>
  <c r="D800" i="53" s="1"/>
  <c r="T38" i="70"/>
  <c r="B1863" i="53"/>
  <c r="D1863" i="53" s="1"/>
  <c r="B1175" i="53"/>
  <c r="B2808" i="53"/>
  <c r="B2778" i="53"/>
  <c r="B421" i="53"/>
  <c r="B450" i="53"/>
  <c r="B2213" i="53"/>
  <c r="D2213" i="53" s="1"/>
  <c r="B917" i="53"/>
  <c r="D917" i="53" s="1"/>
  <c r="B2010" i="53"/>
  <c r="D2010" i="53" s="1"/>
  <c r="BY30" i="17"/>
  <c r="B1234" i="53"/>
  <c r="B1205" i="53"/>
  <c r="B2661" i="53"/>
  <c r="D2661" i="53" s="1"/>
  <c r="B2691" i="53"/>
  <c r="D2691" i="53" s="1"/>
  <c r="B16" i="53"/>
  <c r="D16" i="53" s="1"/>
  <c r="B1033" i="53"/>
  <c r="D1033" i="53" s="1"/>
  <c r="P72" i="56"/>
  <c r="T72" i="56" s="1"/>
  <c r="P17" i="70"/>
  <c r="B394" i="53"/>
  <c r="D394" i="53" s="1"/>
  <c r="T25" i="70"/>
  <c r="B398" i="53" s="1"/>
  <c r="B568" i="53"/>
  <c r="D568" i="53" s="1"/>
  <c r="D572" i="53" s="1"/>
  <c r="B1415" i="53"/>
  <c r="D1415" i="53" s="1"/>
  <c r="B1385" i="53"/>
  <c r="D1385" i="53" s="1"/>
  <c r="T31" i="70"/>
  <c r="B887" i="53"/>
  <c r="D887" i="53" s="1"/>
  <c r="T42" i="70"/>
  <c r="B1980" i="53"/>
  <c r="D1980" i="53" s="1"/>
  <c r="B1032" i="53"/>
  <c r="D1032" i="53" s="1"/>
  <c r="B2690" i="53"/>
  <c r="D2690" i="53" s="1"/>
  <c r="B2660" i="53"/>
  <c r="D2660" i="53" s="1"/>
  <c r="T15" i="70"/>
  <c r="B1001" i="53"/>
  <c r="B2123" i="53"/>
  <c r="B2418" i="53"/>
  <c r="B2448" i="53"/>
  <c r="B2721" i="53"/>
  <c r="D2721" i="53" s="1"/>
  <c r="B2751" i="53"/>
  <c r="D2751" i="53" s="1"/>
  <c r="B1149" i="53"/>
  <c r="D1149" i="53" s="1"/>
  <c r="B1062" i="53"/>
  <c r="D1062" i="53" s="1"/>
  <c r="Z9" i="70"/>
  <c r="B1010" i="53"/>
  <c r="B2427" i="53"/>
  <c r="Z49" i="70"/>
  <c r="B2457" i="53"/>
  <c r="B2132" i="53"/>
  <c r="B1711" i="53"/>
  <c r="D1717" i="53" s="1"/>
  <c r="B1741" i="53"/>
  <c r="D1747" i="53" s="1"/>
  <c r="B711" i="53"/>
  <c r="D717" i="53" s="1"/>
  <c r="B539" i="53"/>
  <c r="D539" i="53" s="1"/>
  <c r="D543" i="53" s="1"/>
  <c r="T30" i="70"/>
  <c r="B1326" i="53"/>
  <c r="D1326" i="53" s="1"/>
  <c r="B1355" i="53"/>
  <c r="D1355" i="53" s="1"/>
  <c r="BY24" i="17"/>
  <c r="B1061" i="53"/>
  <c r="D1061" i="53" s="1"/>
  <c r="B1148" i="53"/>
  <c r="D1148" i="53" s="1"/>
  <c r="T16" i="70"/>
  <c r="B2720" i="53"/>
  <c r="D2720" i="53" s="1"/>
  <c r="B2750" i="53"/>
  <c r="D2750" i="53" s="1"/>
  <c r="B1505" i="53"/>
  <c r="D1505" i="53" s="1"/>
  <c r="B1564" i="53"/>
  <c r="D1564" i="53" s="1"/>
  <c r="T33" i="70"/>
  <c r="B626" i="53"/>
  <c r="D626" i="53" s="1"/>
  <c r="BY33" i="17"/>
  <c r="B546" i="53"/>
  <c r="B1333" i="53"/>
  <c r="Z30" i="70"/>
  <c r="B1362" i="53"/>
  <c r="B1117" i="53"/>
  <c r="B2927" i="53"/>
  <c r="B2897" i="53"/>
  <c r="AC31" i="56"/>
  <c r="AI31" i="56" s="1"/>
  <c r="AJ31" i="56" s="1"/>
  <c r="B2906" i="53"/>
  <c r="B2936" i="53"/>
  <c r="Z53" i="70"/>
  <c r="B1126" i="53"/>
  <c r="AP45" i="25"/>
  <c r="X45" i="70" s="1"/>
  <c r="B80" i="53" s="1"/>
  <c r="B101" i="53"/>
  <c r="N45" i="70"/>
  <c r="B71" i="53" s="1"/>
  <c r="B2597" i="53"/>
  <c r="B2627" i="53"/>
  <c r="T45" i="70"/>
  <c r="B77" i="53" s="1"/>
  <c r="Y52" i="24" l="1"/>
  <c r="AB14" i="24"/>
  <c r="AC14" i="24" s="1"/>
  <c r="AC13" i="24" s="1"/>
  <c r="D1687" i="53"/>
  <c r="AC15" i="56"/>
  <c r="AC80" i="56" s="1"/>
  <c r="AI16" i="56"/>
  <c r="AJ16" i="56" s="1"/>
  <c r="AJ15" i="56" s="1"/>
  <c r="D250" i="53"/>
  <c r="D252" i="53"/>
  <c r="D251" i="53"/>
  <c r="D248" i="53"/>
  <c r="AI13" i="56"/>
  <c r="AI12" i="56" s="1"/>
  <c r="G58" i="69"/>
  <c r="K33" i="56"/>
  <c r="H60" i="69"/>
  <c r="G61" i="69"/>
  <c r="G62" i="69" s="1"/>
  <c r="D483" i="53"/>
  <c r="D480" i="53"/>
  <c r="D484" i="53"/>
  <c r="D482" i="53"/>
  <c r="H57" i="69"/>
  <c r="H58" i="69" s="1"/>
  <c r="I56" i="69"/>
  <c r="I57" i="69" s="1"/>
  <c r="I58" i="69" s="1"/>
  <c r="I35" i="69"/>
  <c r="I36" i="69" s="1"/>
  <c r="I37" i="69" s="1"/>
  <c r="H36" i="69"/>
  <c r="H37" i="69" s="1"/>
  <c r="AB11" i="24"/>
  <c r="AB10" i="24" s="1"/>
  <c r="D137" i="53"/>
  <c r="AC29" i="56"/>
  <c r="AI29" i="56" s="1"/>
  <c r="AJ29" i="56" s="1"/>
  <c r="D249" i="53"/>
  <c r="D146" i="71"/>
  <c r="D141" i="71"/>
  <c r="D144" i="71"/>
  <c r="D140" i="71"/>
  <c r="D145" i="71"/>
  <c r="D143" i="71"/>
  <c r="D147" i="71"/>
  <c r="D139" i="71"/>
  <c r="D136" i="71"/>
  <c r="D137" i="71"/>
  <c r="D142" i="71"/>
  <c r="D138" i="71"/>
  <c r="D2158" i="53"/>
  <c r="D1657" i="53"/>
  <c r="D688" i="53"/>
  <c r="Z28" i="70"/>
  <c r="Z26" i="70"/>
  <c r="T51" i="70"/>
  <c r="B2187" i="53" s="1"/>
  <c r="B2570" i="53"/>
  <c r="D2570" i="53" s="1"/>
  <c r="D2574" i="53" s="1"/>
  <c r="B2183" i="53"/>
  <c r="D2183" i="53" s="1"/>
  <c r="D2187" i="53" s="1"/>
  <c r="B2480" i="53"/>
  <c r="D2480" i="53" s="1"/>
  <c r="D2484" i="53" s="1"/>
  <c r="T50" i="70"/>
  <c r="B2484" i="53" s="1"/>
  <c r="B15" i="53"/>
  <c r="D15" i="53" s="1"/>
  <c r="D19" i="53" s="1"/>
  <c r="B2510" i="53"/>
  <c r="D2510" i="53" s="1"/>
  <c r="D2514" i="53" s="1"/>
  <c r="B2540" i="53"/>
  <c r="D2540" i="53" s="1"/>
  <c r="D2544" i="53" s="1"/>
  <c r="D77" i="53"/>
  <c r="B1657" i="53"/>
  <c r="B1687" i="53"/>
  <c r="T34" i="70"/>
  <c r="B1628" i="53" s="1"/>
  <c r="B1624" i="53"/>
  <c r="D1624" i="53" s="1"/>
  <c r="D1628" i="53" s="1"/>
  <c r="B655" i="53"/>
  <c r="D655" i="53" s="1"/>
  <c r="D659" i="53" s="1"/>
  <c r="Y26" i="24"/>
  <c r="AB26" i="24" s="1"/>
  <c r="AC26" i="24" s="1"/>
  <c r="B1207" i="53"/>
  <c r="D1207" i="53" s="1"/>
  <c r="D1211" i="53" s="1"/>
  <c r="B1236" i="53"/>
  <c r="D1236" i="53" s="1"/>
  <c r="D1240" i="53" s="1"/>
  <c r="B2454" i="53"/>
  <c r="T20" i="70"/>
  <c r="B253" i="53" s="1"/>
  <c r="B1807" i="53"/>
  <c r="B746" i="53"/>
  <c r="B1007" i="53"/>
  <c r="AA49" i="70"/>
  <c r="B1012" i="53" s="1"/>
  <c r="B2129" i="53"/>
  <c r="D2454" i="53"/>
  <c r="B1926" i="53"/>
  <c r="X22" i="70"/>
  <c r="Z22" i="70" s="1"/>
  <c r="D2424" i="53"/>
  <c r="B1211" i="53"/>
  <c r="B1240" i="53"/>
  <c r="D2129" i="53"/>
  <c r="D2992" i="53"/>
  <c r="Y43" i="24"/>
  <c r="AB43" i="24" s="1"/>
  <c r="AC43" i="24" s="1"/>
  <c r="D1007" i="53"/>
  <c r="B1538" i="53"/>
  <c r="D1538" i="53"/>
  <c r="B2962" i="53"/>
  <c r="B137" i="53"/>
  <c r="D2962" i="53"/>
  <c r="AC52" i="56"/>
  <c r="AI52" i="56" s="1"/>
  <c r="AJ52" i="56" s="1"/>
  <c r="Y44" i="24"/>
  <c r="AB44" i="24" s="1"/>
  <c r="AC44" i="24" s="1"/>
  <c r="AC34" i="24"/>
  <c r="AC33" i="24" s="1"/>
  <c r="AB5" i="24"/>
  <c r="AI41" i="56"/>
  <c r="Z25" i="70"/>
  <c r="Z24" i="70"/>
  <c r="D107" i="53"/>
  <c r="AC28" i="56"/>
  <c r="AI28" i="56" s="1"/>
  <c r="AJ28" i="56" s="1"/>
  <c r="AC18" i="24"/>
  <c r="AC17" i="24" s="1"/>
  <c r="Y21" i="24"/>
  <c r="AB21" i="24" s="1"/>
  <c r="AC21" i="24" s="1"/>
  <c r="W37" i="56"/>
  <c r="AI24" i="56"/>
  <c r="D2664" i="53"/>
  <c r="D1568" i="53"/>
  <c r="D630" i="53"/>
  <c r="D1509" i="53"/>
  <c r="D398" i="53"/>
  <c r="B2846" i="53"/>
  <c r="D891" i="53"/>
  <c r="Z46" i="70"/>
  <c r="B2876" i="53"/>
  <c r="D1896" i="53"/>
  <c r="D1955" i="53"/>
  <c r="D2276" i="53"/>
  <c r="D2042" i="53"/>
  <c r="D2246" i="53"/>
  <c r="D427" i="53"/>
  <c r="D775" i="53"/>
  <c r="D1270" i="53"/>
  <c r="D1389" i="53"/>
  <c r="B1270" i="53"/>
  <c r="D1330" i="53"/>
  <c r="B2837" i="53"/>
  <c r="B1088" i="53"/>
  <c r="B285" i="53"/>
  <c r="B1300" i="53"/>
  <c r="D1984" i="53"/>
  <c r="D1837" i="53"/>
  <c r="D804" i="53"/>
  <c r="D1419" i="53"/>
  <c r="B1955" i="53"/>
  <c r="B949" i="53"/>
  <c r="B2276" i="53"/>
  <c r="B2042" i="53"/>
  <c r="B1896" i="53"/>
  <c r="B2246" i="53"/>
  <c r="D48" i="53"/>
  <c r="D2754" i="53"/>
  <c r="D2724" i="53"/>
  <c r="D1359" i="53"/>
  <c r="B2869" i="53"/>
  <c r="D2869" i="53" s="1"/>
  <c r="D2873" i="53" s="1"/>
  <c r="B2839" i="53"/>
  <c r="D2839" i="53" s="1"/>
  <c r="B1090" i="53"/>
  <c r="D1090" i="53" s="1"/>
  <c r="D1867" i="53"/>
  <c r="BY28" i="17"/>
  <c r="B2929" i="53"/>
  <c r="D2929" i="53" s="1"/>
  <c r="D2933" i="53" s="1"/>
  <c r="B1119" i="53"/>
  <c r="D1119" i="53" s="1"/>
  <c r="D1123" i="53" s="1"/>
  <c r="B2899" i="53"/>
  <c r="D2899" i="53" s="1"/>
  <c r="D2903" i="53" s="1"/>
  <c r="T53" i="70"/>
  <c r="D2694" i="53"/>
  <c r="B305" i="53"/>
  <c r="D311" i="53" s="1"/>
  <c r="D456" i="53"/>
  <c r="T27" i="70"/>
  <c r="B456" i="53" s="1"/>
  <c r="B343" i="53"/>
  <c r="Z23" i="70"/>
  <c r="B481" i="53"/>
  <c r="D481" i="53" s="1"/>
  <c r="T28" i="70"/>
  <c r="B485" i="53" s="1"/>
  <c r="B597" i="53"/>
  <c r="D597" i="53" s="1"/>
  <c r="D601" i="53" s="1"/>
  <c r="B1475" i="53"/>
  <c r="D1475" i="53" s="1"/>
  <c r="D1479" i="53" s="1"/>
  <c r="B1445" i="53"/>
  <c r="D1445" i="53" s="1"/>
  <c r="D1449" i="53" s="1"/>
  <c r="T32" i="70"/>
  <c r="B2391" i="53"/>
  <c r="D2391" i="53" s="1"/>
  <c r="D2395" i="53" s="1"/>
  <c r="B2361" i="53"/>
  <c r="D2361" i="53" s="1"/>
  <c r="D2365" i="53" s="1"/>
  <c r="B2096" i="53"/>
  <c r="D2096" i="53" s="1"/>
  <c r="D2100" i="53" s="1"/>
  <c r="B974" i="53"/>
  <c r="D974" i="53" s="1"/>
  <c r="D978" i="53" s="1"/>
  <c r="T44" i="70"/>
  <c r="D1065" i="53"/>
  <c r="BY31" i="17"/>
  <c r="B365" i="53"/>
  <c r="D365" i="53" s="1"/>
  <c r="D369" i="53" s="1"/>
  <c r="T24" i="70"/>
  <c r="B369" i="53" s="1"/>
  <c r="B829" i="53"/>
  <c r="D829" i="53" s="1"/>
  <c r="D833" i="53" s="1"/>
  <c r="T40" i="70"/>
  <c r="BY27" i="17"/>
  <c r="BY23" i="17"/>
  <c r="B775" i="53"/>
  <c r="B1837" i="53"/>
  <c r="B2780" i="53"/>
  <c r="D2780" i="53" s="1"/>
  <c r="D2784" i="53" s="1"/>
  <c r="B1177" i="53"/>
  <c r="D1177" i="53" s="1"/>
  <c r="D1181" i="53" s="1"/>
  <c r="T52" i="70"/>
  <c r="B107" i="53" s="1"/>
  <c r="B2810" i="53"/>
  <c r="D2810" i="53" s="1"/>
  <c r="D2814" i="53" s="1"/>
  <c r="D1152" i="53"/>
  <c r="B224" i="53"/>
  <c r="B804" i="53"/>
  <c r="B1867" i="53"/>
  <c r="B2724" i="53"/>
  <c r="B1065" i="53"/>
  <c r="B1152" i="53"/>
  <c r="B2754" i="53"/>
  <c r="B1419" i="53"/>
  <c r="B1389" i="53"/>
  <c r="B572" i="53"/>
  <c r="B2664" i="53"/>
  <c r="B2694" i="53"/>
  <c r="B1036" i="53"/>
  <c r="D1036" i="53"/>
  <c r="B891" i="53"/>
  <c r="B1984" i="53"/>
  <c r="B630" i="53"/>
  <c r="B1568" i="53"/>
  <c r="B1509" i="53"/>
  <c r="B1359" i="53"/>
  <c r="B543" i="53"/>
  <c r="B1330" i="53"/>
  <c r="B2212" i="53"/>
  <c r="D2212" i="53" s="1"/>
  <c r="D2216" i="53" s="1"/>
  <c r="B2009" i="53"/>
  <c r="D2009" i="53" s="1"/>
  <c r="D2013" i="53" s="1"/>
  <c r="B916" i="53"/>
  <c r="D916" i="53" s="1"/>
  <c r="D920" i="53" s="1"/>
  <c r="T17" i="70"/>
  <c r="Z45" i="70"/>
  <c r="B2637" i="53"/>
  <c r="B2607" i="53"/>
  <c r="B2628" i="53"/>
  <c r="D2634" i="53" s="1"/>
  <c r="B2598" i="53"/>
  <c r="D2604" i="53" s="1"/>
  <c r="B2634" i="53"/>
  <c r="B2604" i="53"/>
  <c r="AB13" i="24" l="1"/>
  <c r="AB52" i="24" s="1"/>
  <c r="AI15" i="56"/>
  <c r="AI80" i="56" s="1"/>
  <c r="AC11" i="24"/>
  <c r="AC10" i="24" s="1"/>
  <c r="AC52" i="24" s="1"/>
  <c r="AJ13" i="56"/>
  <c r="AJ12" i="56" s="1"/>
  <c r="AJ80" i="56" s="1"/>
  <c r="D151" i="71"/>
  <c r="D149" i="71"/>
  <c r="D152" i="71"/>
  <c r="D157" i="71"/>
  <c r="D159" i="71"/>
  <c r="D150" i="71"/>
  <c r="D156" i="71"/>
  <c r="D154" i="71"/>
  <c r="D148" i="71"/>
  <c r="D153" i="71"/>
  <c r="D155" i="71"/>
  <c r="D158" i="71"/>
  <c r="H61" i="69"/>
  <c r="H62" i="69" s="1"/>
  <c r="I60" i="69"/>
  <c r="I61" i="69" s="1"/>
  <c r="I62" i="69" s="1"/>
  <c r="L33" i="56"/>
  <c r="V33" i="56"/>
  <c r="AE33" i="56"/>
  <c r="N33" i="56"/>
  <c r="T33" i="56"/>
  <c r="K81" i="56"/>
  <c r="K82" i="56" s="1"/>
  <c r="K83" i="56" s="1"/>
  <c r="D485" i="53"/>
  <c r="D253" i="53"/>
  <c r="B2544" i="53"/>
  <c r="B2574" i="53"/>
  <c r="B48" i="53"/>
  <c r="B2514" i="53"/>
  <c r="B2158" i="53"/>
  <c r="B19" i="53"/>
  <c r="B314" i="53"/>
  <c r="B659" i="53"/>
  <c r="B1598" i="53"/>
  <c r="AF49" i="70"/>
  <c r="AJ49" i="70" s="1"/>
  <c r="B2429" i="53"/>
  <c r="B2134" i="53"/>
  <c r="B2459" i="53"/>
  <c r="D1094" i="53"/>
  <c r="D2843" i="53"/>
  <c r="B1094" i="53"/>
  <c r="B2843" i="53"/>
  <c r="B2873" i="53"/>
  <c r="B2933" i="53"/>
  <c r="B1123" i="53"/>
  <c r="B2903" i="53"/>
  <c r="B2365" i="53"/>
  <c r="B2395" i="53"/>
  <c r="B2100" i="53"/>
  <c r="B978" i="53"/>
  <c r="B1479" i="53"/>
  <c r="B1449" i="53"/>
  <c r="B601" i="53"/>
  <c r="B833" i="53"/>
  <c r="B1181" i="53"/>
  <c r="B2814" i="53"/>
  <c r="B2784" i="53"/>
  <c r="B2013" i="53"/>
  <c r="B920" i="53"/>
  <c r="B2216" i="53"/>
  <c r="D170" i="71" l="1"/>
  <c r="D169" i="71"/>
  <c r="D161" i="71"/>
  <c r="D167" i="71"/>
  <c r="D168" i="71"/>
  <c r="D160" i="71"/>
  <c r="D163" i="71"/>
  <c r="D171" i="71"/>
  <c r="D162" i="71"/>
  <c r="D165" i="71"/>
  <c r="G7" i="70" s="1"/>
  <c r="D166" i="71"/>
  <c r="D164" i="71"/>
  <c r="AC33" i="56"/>
  <c r="AI33" i="56" s="1"/>
  <c r="AJ33" i="56" s="1"/>
  <c r="AK49" i="70"/>
  <c r="B2140" i="53"/>
  <c r="B2435" i="53"/>
  <c r="B1018" i="53"/>
  <c r="B2465" i="53"/>
  <c r="AN95" i="6"/>
  <c r="AL93" i="6"/>
  <c r="AO92" i="6"/>
  <c r="AL94" i="6"/>
  <c r="AN96" i="6"/>
  <c r="AN94" i="6"/>
  <c r="AM96" i="6"/>
  <c r="AO94" i="6"/>
  <c r="AM94" i="6"/>
  <c r="AL92" i="6"/>
  <c r="AM93" i="6"/>
  <c r="AN93" i="6"/>
  <c r="AM95" i="6"/>
  <c r="AL95" i="6"/>
  <c r="AM92" i="6"/>
  <c r="AO96" i="6"/>
  <c r="AN92" i="6"/>
  <c r="AO93" i="6"/>
  <c r="AO95" i="6"/>
  <c r="AL96" i="6"/>
  <c r="AL54" i="6"/>
  <c r="BC58" i="6"/>
  <c r="AT72" i="6"/>
  <c r="AY59" i="6"/>
  <c r="BA61" i="6"/>
  <c r="AT75" i="6"/>
  <c r="BB79" i="6"/>
  <c r="AT67" i="6"/>
  <c r="BA76" i="6"/>
  <c r="AS64" i="6"/>
  <c r="AT71" i="6"/>
  <c r="AY58" i="6"/>
  <c r="BA72" i="6"/>
  <c r="AX79" i="6"/>
  <c r="AX71" i="6"/>
  <c r="BC68" i="6"/>
  <c r="BB76" i="6"/>
  <c r="BA70" i="6"/>
  <c r="AZ59" i="6"/>
  <c r="BB56" i="6"/>
  <c r="AU70" i="6"/>
  <c r="BC74" i="6"/>
  <c r="AU62" i="6"/>
  <c r="AS76" i="6"/>
  <c r="AX63" i="6"/>
  <c r="AT56" i="6"/>
  <c r="AU74" i="6"/>
  <c r="BB73" i="6"/>
  <c r="BB63" i="6"/>
  <c r="AS77" i="6"/>
  <c r="AW65" i="6"/>
  <c r="BC78" i="6"/>
  <c r="BC62" i="6"/>
  <c r="AY68" i="6"/>
  <c r="BB65" i="6"/>
  <c r="AQ70" i="6"/>
  <c r="AV57" i="6"/>
  <c r="BC66" i="6"/>
  <c r="AU54" i="6"/>
  <c r="AV61" i="6"/>
  <c r="AZ74" i="6"/>
  <c r="AQ79" i="6"/>
  <c r="AR73" i="6"/>
  <c r="AW60" i="6"/>
  <c r="AR65" i="6"/>
  <c r="AV78" i="6"/>
  <c r="BC75" i="6"/>
  <c r="BC67" i="6"/>
  <c r="AS65" i="6"/>
  <c r="BA67" i="6"/>
  <c r="AZ73" i="6"/>
  <c r="AR61" i="6"/>
  <c r="AQ62" i="6"/>
  <c r="AU75" i="6"/>
  <c r="AQ76" i="6"/>
  <c r="BA65" i="6"/>
  <c r="AX69" i="6"/>
  <c r="BA68" i="6"/>
  <c r="AS56" i="6"/>
  <c r="AU58" i="6"/>
  <c r="AY71" i="6"/>
  <c r="BB59" i="6"/>
  <c r="BA77" i="6"/>
  <c r="AT60" i="6"/>
  <c r="BA78" i="6"/>
  <c r="AR62" i="6"/>
  <c r="BC59" i="6"/>
  <c r="AV73" i="6"/>
  <c r="AQ59" i="6"/>
  <c r="AS69" i="6"/>
  <c r="AY78" i="6"/>
  <c r="AQ66" i="6"/>
  <c r="AS68" i="6"/>
  <c r="AX55" i="6"/>
  <c r="AS60" i="6"/>
  <c r="AW73" i="6"/>
  <c r="AR57" i="6"/>
  <c r="AV70" i="6"/>
  <c r="BA57" i="6"/>
  <c r="AU59" i="6"/>
  <c r="AR66" i="6"/>
  <c r="AR58" i="6"/>
  <c r="AW56" i="6"/>
  <c r="BA69" i="6"/>
  <c r="AS57" i="6"/>
  <c r="BB71" i="6"/>
  <c r="AT59" i="6"/>
  <c r="BA54" i="6"/>
  <c r="AY63" i="6"/>
  <c r="AR77" i="6"/>
  <c r="AX60" i="6"/>
  <c r="AQ74" i="6"/>
  <c r="AZ65" i="6"/>
  <c r="AQ56" i="6"/>
  <c r="AR94" i="6"/>
  <c r="AR95" i="6"/>
  <c r="AR96" i="6"/>
  <c r="BB55" i="6"/>
  <c r="BB64" i="6"/>
  <c r="AU78" i="6"/>
  <c r="AZ70" i="6"/>
  <c r="BC79" i="6"/>
  <c r="BA73" i="6"/>
  <c r="BB60" i="6"/>
  <c r="AT63" i="6"/>
  <c r="AX76" i="6"/>
  <c r="AT55" i="6"/>
  <c r="AX68" i="6"/>
  <c r="BC55" i="6"/>
  <c r="AZ69" i="6"/>
  <c r="AZ61" i="6"/>
  <c r="AS54" i="6"/>
  <c r="BA58" i="6"/>
  <c r="AW57" i="6"/>
  <c r="BC70" i="6"/>
  <c r="AX75" i="6"/>
  <c r="AX56" i="6"/>
  <c r="AQ67" i="6"/>
  <c r="AT94" i="6"/>
  <c r="AT95" i="6"/>
  <c r="AT96" i="6"/>
  <c r="AQ55" i="6"/>
  <c r="AW68" i="6"/>
  <c r="AU96" i="6"/>
  <c r="AZ66" i="6"/>
  <c r="AR54" i="6"/>
  <c r="AZ58" i="6"/>
  <c r="AS72" i="6"/>
  <c r="AY62" i="6"/>
  <c r="AY54" i="6"/>
  <c r="AU55" i="6"/>
  <c r="AQ64" i="6"/>
  <c r="AQ54" i="6"/>
  <c r="AU67" i="6"/>
  <c r="AZ54" i="6"/>
  <c r="AY55" i="6"/>
  <c r="AR69" i="6"/>
  <c r="AY64" i="6"/>
  <c r="AR74" i="6"/>
  <c r="AV62" i="6"/>
  <c r="BB75" i="6"/>
  <c r="AQ78" i="6"/>
  <c r="AV65" i="6"/>
  <c r="AW72" i="6"/>
  <c r="AW64" i="6"/>
  <c r="AR59" i="6"/>
  <c r="AZ63" i="6"/>
  <c r="BC60" i="6"/>
  <c r="AU71" i="6"/>
  <c r="AQ95" i="6"/>
  <c r="AQ96" i="6"/>
  <c r="AU66" i="6"/>
  <c r="AY79" i="6"/>
  <c r="AX93" i="6"/>
  <c r="AX94" i="6"/>
  <c r="AX95" i="6"/>
  <c r="AX96" i="6"/>
  <c r="BA60" i="6"/>
  <c r="AX59" i="6"/>
  <c r="AY75" i="6"/>
  <c r="AX64" i="6"/>
  <c r="AV60" i="6"/>
  <c r="BA74" i="6"/>
  <c r="AZ72" i="6"/>
  <c r="BA66" i="6"/>
  <c r="BB81" i="6"/>
  <c r="AR70" i="6"/>
  <c r="BB68" i="6"/>
  <c r="AY74" i="6"/>
  <c r="AU76" i="6"/>
  <c r="AW58" i="6"/>
  <c r="AT77" i="6"/>
  <c r="AR79" i="6"/>
  <c r="BC71" i="6"/>
  <c r="AZ57" i="6"/>
  <c r="AW76" i="6"/>
  <c r="AU95" i="6"/>
  <c r="BC63" i="6"/>
  <c r="AX92" i="6"/>
  <c r="AW66" i="6"/>
  <c r="BB57" i="6"/>
  <c r="AS75" i="6"/>
  <c r="BA64" i="6"/>
  <c r="BC57" i="6"/>
  <c r="AU63" i="6"/>
  <c r="AS73" i="6"/>
  <c r="AU65" i="6"/>
  <c r="BB78" i="6"/>
  <c r="AQ57" i="6"/>
  <c r="AX65" i="6"/>
  <c r="BC61" i="6"/>
  <c r="BA55" i="6"/>
  <c r="BC88" i="6"/>
  <c r="AX73" i="6"/>
  <c r="AQ72" i="6"/>
  <c r="AX57" i="6"/>
  <c r="AT65" i="6"/>
  <c r="BC56" i="6"/>
  <c r="AW83" i="6"/>
  <c r="AT68" i="6"/>
  <c r="AQ75" i="6"/>
  <c r="BA62" i="6"/>
  <c r="AR71" i="6"/>
  <c r="AV77" i="6"/>
  <c r="AZ62" i="6"/>
  <c r="AU68" i="6"/>
  <c r="BB72" i="6"/>
  <c r="AT73" i="6"/>
  <c r="AS61" i="6"/>
  <c r="AY56" i="6"/>
  <c r="AX67" i="6"/>
  <c r="AQ92" i="6"/>
  <c r="AQ93" i="6"/>
  <c r="AQ94" i="6"/>
  <c r="BB67" i="6"/>
  <c r="AY66" i="6"/>
  <c r="AW78" i="6"/>
  <c r="AR75" i="6"/>
  <c r="BB61" i="6"/>
  <c r="AV88" i="6"/>
  <c r="AZ67" i="6"/>
  <c r="AY70" i="6"/>
  <c r="AV58" i="6"/>
  <c r="AT57" i="6"/>
  <c r="BB62" i="6"/>
  <c r="AZ78" i="6"/>
  <c r="AW62" i="6"/>
  <c r="AT70" i="6"/>
  <c r="AR55" i="6"/>
  <c r="AT69" i="6"/>
  <c r="AZ89" i="6"/>
  <c r="AX81" i="6"/>
  <c r="AS71" i="6"/>
  <c r="AV76" i="6"/>
  <c r="AZ64" i="6"/>
  <c r="AV71" i="6"/>
  <c r="AV63" i="6"/>
  <c r="AR78" i="6"/>
  <c r="AS78" i="6"/>
  <c r="BB69" i="6"/>
  <c r="AS74" i="6"/>
  <c r="AU82" i="6"/>
  <c r="AZ75" i="6"/>
  <c r="AZ95" i="6"/>
  <c r="AZ96" i="6"/>
  <c r="AU56" i="6"/>
  <c r="AT76" i="6"/>
  <c r="AY72" i="6"/>
  <c r="AV66" i="6"/>
  <c r="AW55" i="6"/>
  <c r="AQ69" i="6"/>
  <c r="AR93" i="6"/>
  <c r="AR92" i="6"/>
  <c r="AZ77" i="6"/>
  <c r="BA56" i="6"/>
  <c r="AZ93" i="6"/>
  <c r="AZ94" i="6"/>
  <c r="BC76" i="6"/>
  <c r="AV67" i="6"/>
  <c r="AT64" i="6"/>
  <c r="AV69" i="6"/>
  <c r="AW69" i="6"/>
  <c r="AW74" i="6"/>
  <c r="BC54" i="6"/>
  <c r="AY67" i="6"/>
  <c r="AV54" i="6"/>
  <c r="AT79" i="6"/>
  <c r="AT61" i="6"/>
  <c r="AV55" i="6"/>
  <c r="AX72" i="6"/>
  <c r="AX66" i="6"/>
  <c r="AQ71" i="6"/>
  <c r="AX61" i="6"/>
  <c r="AR67" i="6"/>
  <c r="AU72" i="6"/>
  <c r="AY76" i="6"/>
  <c r="AU85" i="6"/>
  <c r="AU89" i="6"/>
  <c r="BC90" i="6"/>
  <c r="AY82" i="6"/>
  <c r="AR86" i="6"/>
  <c r="AV94" i="6"/>
  <c r="AV95" i="6"/>
  <c r="AV96" i="6"/>
  <c r="AU94" i="6"/>
  <c r="AU92" i="6"/>
  <c r="AU93" i="6"/>
  <c r="AU69" i="6"/>
  <c r="BB94" i="6"/>
  <c r="BB95" i="6"/>
  <c r="BB96" i="6"/>
  <c r="AS70" i="6"/>
  <c r="AV59" i="6"/>
  <c r="AR64" i="6"/>
  <c r="AZ80" i="6"/>
  <c r="AW61" i="6"/>
  <c r="AS59" i="6"/>
  <c r="AT90" i="6"/>
  <c r="AZ55" i="6"/>
  <c r="AX86" i="6"/>
  <c r="AQ85" i="6"/>
  <c r="AY57" i="6"/>
  <c r="AV83" i="6"/>
  <c r="BC86" i="6"/>
  <c r="AN54" i="6"/>
  <c r="AF42" i="6"/>
  <c r="AF89" i="6" s="1"/>
  <c r="AR72" i="6"/>
  <c r="AL6" i="6"/>
  <c r="AL53" i="6" s="1"/>
  <c r="AO75" i="6"/>
  <c r="AW71" i="6"/>
  <c r="AR88" i="6"/>
  <c r="AX62" i="6"/>
  <c r="AM54" i="6"/>
  <c r="V16" i="6"/>
  <c r="V63" i="6" s="1"/>
  <c r="H14" i="6"/>
  <c r="H61" i="6" s="1"/>
  <c r="AU83" i="6"/>
  <c r="AS79" i="6"/>
  <c r="AY86" i="6"/>
  <c r="AZ79" i="6"/>
  <c r="AY85" i="6"/>
  <c r="AO54" i="6"/>
  <c r="AV75" i="6"/>
  <c r="BB87" i="6"/>
  <c r="AQ77" i="6"/>
  <c r="AL68" i="6"/>
  <c r="AZ85" i="6"/>
  <c r="AL72" i="6"/>
  <c r="BC77" i="6"/>
  <c r="AV82" i="6"/>
  <c r="AL88" i="6"/>
  <c r="W25" i="6"/>
  <c r="W72" i="6" s="1"/>
  <c r="AB41" i="6"/>
  <c r="AB88" i="6" s="1"/>
  <c r="AV79" i="6"/>
  <c r="AR68" i="6"/>
  <c r="BA83" i="6"/>
  <c r="AO90" i="6"/>
  <c r="AQ81" i="6"/>
  <c r="BB66" i="6"/>
  <c r="AW70" i="6"/>
  <c r="AW80" i="6"/>
  <c r="AC28" i="6"/>
  <c r="AC75" i="6" s="1"/>
  <c r="AM79" i="6"/>
  <c r="Z25" i="6"/>
  <c r="Z72" i="6" s="1"/>
  <c r="S27" i="6"/>
  <c r="S74" i="6" s="1"/>
  <c r="AZ71" i="6"/>
  <c r="AT92" i="6"/>
  <c r="AT93" i="6"/>
  <c r="AQ63" i="6"/>
  <c r="BB93" i="6"/>
  <c r="BB92" i="6"/>
  <c r="AX77" i="6"/>
  <c r="AS84" i="6"/>
  <c r="AO57" i="6"/>
  <c r="AS62" i="6"/>
  <c r="AU61" i="6"/>
  <c r="AM67" i="6"/>
  <c r="AW6" i="6"/>
  <c r="AW53" i="6" s="1"/>
  <c r="AY88" i="6"/>
  <c r="AX83" i="6"/>
  <c r="AL71" i="6"/>
  <c r="AX89" i="6"/>
  <c r="BA80" i="6"/>
  <c r="AY83" i="6"/>
  <c r="AZ68" i="6"/>
  <c r="AW84" i="6"/>
  <c r="AS6" i="6"/>
  <c r="AS53" i="6" s="1"/>
  <c r="AV81" i="6"/>
  <c r="W43" i="6"/>
  <c r="W90" i="6" s="1"/>
  <c r="AQ60" i="6"/>
  <c r="AW96" i="6"/>
  <c r="AW92" i="6"/>
  <c r="AW93" i="6"/>
  <c r="AW94" i="6"/>
  <c r="AW95" i="6"/>
  <c r="AQ58" i="6"/>
  <c r="AW59" i="6"/>
  <c r="AS88" i="6"/>
  <c r="AV92" i="6"/>
  <c r="AV93" i="6"/>
  <c r="BC95" i="6"/>
  <c r="BC96" i="6"/>
  <c r="AS66" i="6"/>
  <c r="AQ80" i="6"/>
  <c r="AU64" i="6"/>
  <c r="BA84" i="6"/>
  <c r="AR89" i="6"/>
  <c r="AT82" i="6"/>
  <c r="AX90" i="6"/>
  <c r="BB74" i="6"/>
  <c r="AO89" i="6"/>
  <c r="AQ82" i="6"/>
  <c r="BB84" i="6"/>
  <c r="AW90" i="6"/>
  <c r="AW77" i="6"/>
  <c r="AR84" i="6"/>
  <c r="AY80" i="6"/>
  <c r="AO64" i="6"/>
  <c r="BA87" i="6"/>
  <c r="AW67" i="6"/>
  <c r="AY81" i="6"/>
  <c r="AZ92" i="6"/>
  <c r="AM63" i="6"/>
  <c r="AW79" i="6"/>
  <c r="AL64" i="6"/>
  <c r="AM72" i="6"/>
  <c r="AQ65" i="6"/>
  <c r="BC81" i="6"/>
  <c r="AV64" i="6"/>
  <c r="AM80" i="6"/>
  <c r="BW7" i="6"/>
  <c r="BW54" i="6" s="1"/>
  <c r="AL69" i="6"/>
  <c r="AU60" i="6"/>
  <c r="AW54" i="6"/>
  <c r="BC85" i="6"/>
  <c r="AZ76" i="6"/>
  <c r="BC72" i="6"/>
  <c r="AV85" i="6"/>
  <c r="AT83" i="6"/>
  <c r="BB6" i="6"/>
  <c r="BB53" i="6" s="1"/>
  <c r="AZ56" i="6"/>
  <c r="BA59" i="6"/>
  <c r="BC87" i="6"/>
  <c r="AE27" i="6"/>
  <c r="AE74" i="6" s="1"/>
  <c r="AT74" i="6"/>
  <c r="AY77" i="6"/>
  <c r="AG12" i="6"/>
  <c r="AG59" i="6" s="1"/>
  <c r="AS58" i="6"/>
  <c r="AQ89" i="6"/>
  <c r="AV56" i="6"/>
  <c r="X47" i="6"/>
  <c r="X94" i="6" s="1"/>
  <c r="BC89" i="6"/>
  <c r="AT81" i="6"/>
  <c r="AX80" i="6"/>
  <c r="AW82" i="6"/>
  <c r="AY65" i="6"/>
  <c r="AN70" i="6"/>
  <c r="AT88" i="6"/>
  <c r="Q24" i="6"/>
  <c r="Q71" i="6" s="1"/>
  <c r="AE30" i="6"/>
  <c r="AE77" i="6" s="1"/>
  <c r="AE12" i="6"/>
  <c r="AE59" i="6" s="1"/>
  <c r="AJ19" i="6"/>
  <c r="AJ66" i="6" s="1"/>
  <c r="AC41" i="6"/>
  <c r="AC88" i="6" s="1"/>
  <c r="AN85" i="6"/>
  <c r="AX84" i="6"/>
  <c r="AH36" i="6"/>
  <c r="AH83" i="6" s="1"/>
  <c r="AG18" i="6"/>
  <c r="AG65" i="6" s="1"/>
  <c r="AN77" i="6"/>
  <c r="AO79" i="6"/>
  <c r="AH18" i="6"/>
  <c r="AH65" i="6" s="1"/>
  <c r="N13" i="6"/>
  <c r="N60" i="6" s="1"/>
  <c r="AS86" i="6"/>
  <c r="AS55" i="6"/>
  <c r="BA82" i="6"/>
  <c r="AI41" i="6"/>
  <c r="AI88" i="6" s="1"/>
  <c r="AT87" i="6"/>
  <c r="BB58" i="6"/>
  <c r="AS87" i="6"/>
  <c r="AY84" i="6"/>
  <c r="AQ68" i="6"/>
  <c r="BA71" i="6"/>
  <c r="AU57" i="6"/>
  <c r="AL59" i="6"/>
  <c r="AW75" i="6"/>
  <c r="AR87" i="6"/>
  <c r="AT58" i="6"/>
  <c r="AY69" i="6"/>
  <c r="V20" i="6"/>
  <c r="V67" i="6" s="1"/>
  <c r="AM83" i="6"/>
  <c r="BB85" i="6"/>
  <c r="AB22" i="6"/>
  <c r="AB69" i="6" s="1"/>
  <c r="AM76" i="6"/>
  <c r="AV6" i="6"/>
  <c r="AV53" i="6" s="1"/>
  <c r="AL56" i="6"/>
  <c r="AJ32" i="6"/>
  <c r="AJ79" i="6" s="1"/>
  <c r="AA23" i="6"/>
  <c r="AA70" i="6" s="1"/>
  <c r="AN64" i="6"/>
  <c r="AR56" i="6"/>
  <c r="BA89" i="6"/>
  <c r="AW88" i="6"/>
  <c r="BA88" i="6"/>
  <c r="BJ36" i="6"/>
  <c r="BJ83" i="6" s="1"/>
  <c r="AS93" i="6"/>
  <c r="AS94" i="6"/>
  <c r="AS95" i="6"/>
  <c r="AS96" i="6"/>
  <c r="Y37" i="6"/>
  <c r="Y84" i="6" s="1"/>
  <c r="AJ38" i="6"/>
  <c r="AJ85" i="6" s="1"/>
  <c r="AF33" i="6"/>
  <c r="AF80" i="6" s="1"/>
  <c r="AH19" i="6"/>
  <c r="AH66" i="6" s="1"/>
  <c r="AM66" i="6"/>
  <c r="AY6" i="6"/>
  <c r="AY53" i="6" s="1"/>
  <c r="AD39" i="6"/>
  <c r="AD86" i="6" s="1"/>
  <c r="Y13" i="6"/>
  <c r="Y60" i="6" s="1"/>
  <c r="Z14" i="6"/>
  <c r="Z61" i="6" s="1"/>
  <c r="AM89" i="6"/>
  <c r="AM53" i="6"/>
  <c r="AS80" i="6"/>
  <c r="AO73" i="6"/>
  <c r="BB90" i="6"/>
  <c r="AZ81" i="6"/>
  <c r="BB77" i="6"/>
  <c r="AU90" i="6"/>
  <c r="AO60" i="6"/>
  <c r="AY61" i="6"/>
  <c r="AU86" i="6"/>
  <c r="AO80" i="6"/>
  <c r="AR80" i="6"/>
  <c r="AX88" i="6"/>
  <c r="AT62" i="6"/>
  <c r="AV89" i="6"/>
  <c r="AT86" i="6"/>
  <c r="AJ12" i="6"/>
  <c r="AJ59" i="6" s="1"/>
  <c r="AU73" i="6"/>
  <c r="AI11" i="6"/>
  <c r="AI58" i="6" s="1"/>
  <c r="AM90" i="6"/>
  <c r="AJ43" i="6"/>
  <c r="AJ90" i="6" s="1"/>
  <c r="AQ84" i="6"/>
  <c r="Q11" i="6"/>
  <c r="Q58" i="6" s="1"/>
  <c r="BA96" i="6"/>
  <c r="AR63" i="6"/>
  <c r="AZ83" i="6"/>
  <c r="AS67" i="6"/>
  <c r="AC10" i="6"/>
  <c r="AC57" i="6" s="1"/>
  <c r="V25" i="6"/>
  <c r="V72" i="6" s="1"/>
  <c r="W20" i="6"/>
  <c r="W67" i="6" s="1"/>
  <c r="V34" i="6"/>
  <c r="V81" i="6" s="1"/>
  <c r="AO55" i="6"/>
  <c r="AZ82" i="6"/>
  <c r="AM61" i="6"/>
  <c r="W8" i="6"/>
  <c r="W55" i="6" s="1"/>
  <c r="AF43" i="6"/>
  <c r="AF90" i="6" s="1"/>
  <c r="AL84" i="6"/>
  <c r="AF17" i="6"/>
  <c r="AF64" i="6" s="1"/>
  <c r="W27" i="6"/>
  <c r="W74" i="6" s="1"/>
  <c r="J29" i="6"/>
  <c r="J76" i="6" s="1"/>
  <c r="R19" i="6"/>
  <c r="R66" i="6" s="1"/>
  <c r="AT66" i="6"/>
  <c r="AL90" i="6"/>
  <c r="AB18" i="6"/>
  <c r="AB65" i="6" s="1"/>
  <c r="R11" i="6"/>
  <c r="R58" i="6" s="1"/>
  <c r="AX6" i="6"/>
  <c r="AX53" i="6" s="1"/>
  <c r="Y31" i="6"/>
  <c r="Y78" i="6" s="1"/>
  <c r="AU6" i="6"/>
  <c r="AU53" i="6" s="1"/>
  <c r="AW89" i="6"/>
  <c r="AB10" i="6"/>
  <c r="AB57" i="6" s="1"/>
  <c r="AM74" i="6"/>
  <c r="BC94" i="6"/>
  <c r="BC92" i="6"/>
  <c r="BC93" i="6"/>
  <c r="BC64" i="6"/>
  <c r="AU79" i="6"/>
  <c r="AV80" i="6"/>
  <c r="AV84" i="6"/>
  <c r="AR81" i="6"/>
  <c r="AQ73" i="6"/>
  <c r="AS81" i="6"/>
  <c r="AR85" i="6"/>
  <c r="AR76" i="6"/>
  <c r="BC84" i="6"/>
  <c r="AU81" i="6"/>
  <c r="AV74" i="6"/>
  <c r="BC82" i="6"/>
  <c r="BA81" i="6"/>
  <c r="AV90" i="6"/>
  <c r="AZ84" i="6"/>
  <c r="BC80" i="6"/>
  <c r="AS89" i="6"/>
  <c r="AI10" i="6"/>
  <c r="AI57" i="6" s="1"/>
  <c r="BB54" i="6"/>
  <c r="AX70" i="6"/>
  <c r="AW87" i="6"/>
  <c r="BC69" i="6"/>
  <c r="AX78" i="6"/>
  <c r="AN66" i="6"/>
  <c r="T23" i="6"/>
  <c r="T70" i="6" s="1"/>
  <c r="BE29" i="6"/>
  <c r="BE76" i="6" s="1"/>
  <c r="AR60" i="6"/>
  <c r="AA40" i="6"/>
  <c r="AA87" i="6" s="1"/>
  <c r="Q8" i="6"/>
  <c r="Q55" i="6" s="1"/>
  <c r="AT80" i="6"/>
  <c r="AL83" i="6"/>
  <c r="BC6" i="6"/>
  <c r="BC53" i="6" s="1"/>
  <c r="AN53" i="6"/>
  <c r="AV87" i="6"/>
  <c r="AL70" i="6"/>
  <c r="AD27" i="6"/>
  <c r="AD74" i="6" s="1"/>
  <c r="AG13" i="6"/>
  <c r="AG60" i="6" s="1"/>
  <c r="AQ90" i="6"/>
  <c r="AU77" i="6"/>
  <c r="BA79" i="6"/>
  <c r="AY60" i="6"/>
  <c r="BA63" i="6"/>
  <c r="AW86" i="6"/>
  <c r="AX54" i="6"/>
  <c r="AC21" i="6"/>
  <c r="AC68" i="6" s="1"/>
  <c r="AR83" i="6"/>
  <c r="AS63" i="6"/>
  <c r="AX74" i="6"/>
  <c r="AX87" i="6"/>
  <c r="AZ60" i="6"/>
  <c r="AQ88" i="6"/>
  <c r="AZ88" i="6"/>
  <c r="AI49" i="6"/>
  <c r="AI96" i="6" s="1"/>
  <c r="AN84" i="6"/>
  <c r="X22" i="6"/>
  <c r="X69" i="6" s="1"/>
  <c r="V14" i="6"/>
  <c r="V61" i="6" s="1"/>
  <c r="Z9" i="6"/>
  <c r="Z56" i="6" s="1"/>
  <c r="Y11" i="6"/>
  <c r="Y58" i="6" s="1"/>
  <c r="AB42" i="6"/>
  <c r="AB89" i="6" s="1"/>
  <c r="AJ11" i="6"/>
  <c r="AJ58" i="6" s="1"/>
  <c r="AN88" i="6"/>
  <c r="V27" i="6"/>
  <c r="V74" i="6" s="1"/>
  <c r="AI34" i="6"/>
  <c r="AI81" i="6" s="1"/>
  <c r="V43" i="6"/>
  <c r="V90" i="6" s="1"/>
  <c r="AG16" i="6"/>
  <c r="AG63" i="6" s="1"/>
  <c r="AD40" i="6"/>
  <c r="AD87" i="6" s="1"/>
  <c r="AU80" i="6"/>
  <c r="Y17" i="6"/>
  <c r="Y64" i="6" s="1"/>
  <c r="AX58" i="6"/>
  <c r="S29" i="6"/>
  <c r="S76" i="6" s="1"/>
  <c r="AM56" i="6"/>
  <c r="AG17" i="6"/>
  <c r="AG64" i="6" s="1"/>
  <c r="AT54" i="6"/>
  <c r="AV72" i="6"/>
  <c r="AZ86" i="6"/>
  <c r="AJ16" i="6"/>
  <c r="AJ63" i="6" s="1"/>
  <c r="AC26" i="6"/>
  <c r="AC73" i="6" s="1"/>
  <c r="Z28" i="6"/>
  <c r="Z75" i="6" s="1"/>
  <c r="AQ83" i="6"/>
  <c r="AL65" i="6"/>
  <c r="AQ86" i="6"/>
  <c r="AW85" i="6"/>
  <c r="AT84" i="6"/>
  <c r="AF32" i="6"/>
  <c r="AF79" i="6" s="1"/>
  <c r="BB83" i="6"/>
  <c r="AU87" i="6"/>
  <c r="AM69" i="6"/>
  <c r="AW81" i="6"/>
  <c r="Z21" i="6"/>
  <c r="Z68" i="6" s="1"/>
  <c r="AC19" i="6"/>
  <c r="AC66" i="6" s="1"/>
  <c r="AN80" i="6"/>
  <c r="AX85" i="6"/>
  <c r="AA38" i="6"/>
  <c r="AA85" i="6" s="1"/>
  <c r="S20" i="6"/>
  <c r="S67" i="6" s="1"/>
  <c r="AQ87" i="6"/>
  <c r="W23" i="6"/>
  <c r="W70" i="6" s="1"/>
  <c r="AH38" i="6"/>
  <c r="AH85" i="6" s="1"/>
  <c r="AJ48" i="6"/>
  <c r="AJ95" i="6" s="1"/>
  <c r="AI17" i="6"/>
  <c r="AI64" i="6" s="1"/>
  <c r="AM62" i="6"/>
  <c r="AV86" i="6"/>
  <c r="AS85" i="6"/>
  <c r="AH40" i="6"/>
  <c r="AH87" i="6" s="1"/>
  <c r="AL60" i="6"/>
  <c r="X34" i="6"/>
  <c r="X81" i="6" s="1"/>
  <c r="X33" i="6"/>
  <c r="X80" i="6" s="1"/>
  <c r="AC12" i="6"/>
  <c r="AC59" i="6" s="1"/>
  <c r="L32" i="6"/>
  <c r="L79" i="6" s="1"/>
  <c r="AE7" i="6"/>
  <c r="AE54" i="6" s="1"/>
  <c r="AE15" i="6"/>
  <c r="AE62" i="6" s="1"/>
  <c r="AZ6" i="6"/>
  <c r="AZ53" i="6" s="1"/>
  <c r="AD13" i="6"/>
  <c r="AD60" i="6" s="1"/>
  <c r="AN59" i="6"/>
  <c r="AM88" i="6"/>
  <c r="R15" i="6"/>
  <c r="R62" i="6" s="1"/>
  <c r="AN56" i="6"/>
  <c r="AM75" i="6"/>
  <c r="H16" i="6"/>
  <c r="H63" i="6" s="1"/>
  <c r="AO74" i="6"/>
  <c r="AO87" i="6"/>
  <c r="AH31" i="6"/>
  <c r="AH78" i="6" s="1"/>
  <c r="Y48" i="6"/>
  <c r="Y95" i="6" s="1"/>
  <c r="Z7" i="6"/>
  <c r="Z54" i="6" s="1"/>
  <c r="T28" i="6"/>
  <c r="T75" i="6" s="1"/>
  <c r="M37" i="6"/>
  <c r="M84" i="6" s="1"/>
  <c r="AE49" i="6"/>
  <c r="AE96" i="6" s="1"/>
  <c r="N35" i="6"/>
  <c r="N82" i="6" s="1"/>
  <c r="AE43" i="6"/>
  <c r="AE90" i="6" s="1"/>
  <c r="AD26" i="6"/>
  <c r="AD73" i="6" s="1"/>
  <c r="AG39" i="6"/>
  <c r="AG86" i="6" s="1"/>
  <c r="AO65" i="6"/>
  <c r="S38" i="6"/>
  <c r="S85" i="6" s="1"/>
  <c r="AF13" i="6"/>
  <c r="AF60" i="6" s="1"/>
  <c r="AR82" i="6"/>
  <c r="X18" i="6"/>
  <c r="X65" i="6" s="1"/>
  <c r="AM57" i="6"/>
  <c r="AN89" i="6"/>
  <c r="AD18" i="6"/>
  <c r="AD65" i="6" s="1"/>
  <c r="AH16" i="6"/>
  <c r="AH63" i="6" s="1"/>
  <c r="AI22" i="6"/>
  <c r="AI69" i="6" s="1"/>
  <c r="AT78" i="6"/>
  <c r="AM71" i="6"/>
  <c r="AO72" i="6"/>
  <c r="F40" i="6"/>
  <c r="F87" i="6" s="1"/>
  <c r="AL78" i="6"/>
  <c r="AC25" i="6"/>
  <c r="AC72" i="6" s="1"/>
  <c r="AI26" i="6"/>
  <c r="AI73" i="6" s="1"/>
  <c r="K48" i="6"/>
  <c r="K95" i="6" s="1"/>
  <c r="I40" i="6"/>
  <c r="I87" i="6" s="1"/>
  <c r="AA27" i="6"/>
  <c r="AA74" i="6" s="1"/>
  <c r="AE23" i="6"/>
  <c r="AE70" i="6" s="1"/>
  <c r="BR13" i="6"/>
  <c r="BR60" i="6" s="1"/>
  <c r="W16" i="6"/>
  <c r="W63" i="6" s="1"/>
  <c r="AL75" i="6"/>
  <c r="AA33" i="6"/>
  <c r="AA80" i="6" s="1"/>
  <c r="AF20" i="6"/>
  <c r="AF67" i="6" s="1"/>
  <c r="Y16" i="6"/>
  <c r="Y63" i="6" s="1"/>
  <c r="Z31" i="6"/>
  <c r="Z78" i="6" s="1"/>
  <c r="AB28" i="6"/>
  <c r="AB75" i="6" s="1"/>
  <c r="V45" i="6"/>
  <c r="V92" i="6" s="1"/>
  <c r="I16" i="6"/>
  <c r="I63" i="6" s="1"/>
  <c r="AB9" i="6"/>
  <c r="AB56" i="6" s="1"/>
  <c r="Z27" i="6"/>
  <c r="Z74" i="6" s="1"/>
  <c r="Q12" i="6"/>
  <c r="Q59" i="6" s="1"/>
  <c r="BA86" i="6"/>
  <c r="AA30" i="6"/>
  <c r="AA77" i="6" s="1"/>
  <c r="AC40" i="6"/>
  <c r="AC87" i="6" s="1"/>
  <c r="V21" i="6"/>
  <c r="V68" i="6" s="1"/>
  <c r="AF24" i="6"/>
  <c r="AF71" i="6" s="1"/>
  <c r="I31" i="6"/>
  <c r="I78" i="6" s="1"/>
  <c r="AJ15" i="6"/>
  <c r="AJ62" i="6" s="1"/>
  <c r="O17" i="6"/>
  <c r="O64" i="6" s="1"/>
  <c r="P35" i="6"/>
  <c r="P82" i="6" s="1"/>
  <c r="AD30" i="6"/>
  <c r="AD77" i="6" s="1"/>
  <c r="AB21" i="6"/>
  <c r="AB68" i="6" s="1"/>
  <c r="AN76" i="6"/>
  <c r="Z30" i="6"/>
  <c r="Z77" i="6" s="1"/>
  <c r="BB89" i="6"/>
  <c r="AM59" i="6"/>
  <c r="V40" i="6"/>
  <c r="V87" i="6" s="1"/>
  <c r="F23" i="6"/>
  <c r="F70" i="6" s="1"/>
  <c r="S18" i="6"/>
  <c r="S65" i="6" s="1"/>
  <c r="BB80" i="6"/>
  <c r="T31" i="6"/>
  <c r="T78" i="6" s="1"/>
  <c r="AO81" i="6"/>
  <c r="Z29" i="6"/>
  <c r="Z76" i="6" s="1"/>
  <c r="AG23" i="6"/>
  <c r="AG70" i="6" s="1"/>
  <c r="AN87" i="6"/>
  <c r="M32" i="6"/>
  <c r="M79" i="6" s="1"/>
  <c r="Y29" i="6"/>
  <c r="Y76" i="6" s="1"/>
  <c r="BB86" i="6"/>
  <c r="AS83" i="6"/>
  <c r="AN69" i="6"/>
  <c r="X37" i="6"/>
  <c r="X84" i="6" s="1"/>
  <c r="AC30" i="6"/>
  <c r="AC77" i="6" s="1"/>
  <c r="AY89" i="6"/>
  <c r="V12" i="6"/>
  <c r="V59" i="6" s="1"/>
  <c r="AO59" i="6"/>
  <c r="X28" i="6"/>
  <c r="X75" i="6" s="1"/>
  <c r="AO63" i="6"/>
  <c r="BC83" i="6"/>
  <c r="AA11" i="6"/>
  <c r="AA58" i="6" s="1"/>
  <c r="N38" i="6"/>
  <c r="N85" i="6" s="1"/>
  <c r="AN78" i="6"/>
  <c r="AG48" i="6"/>
  <c r="AG95" i="6" s="1"/>
  <c r="AI14" i="6"/>
  <c r="AI61" i="6" s="1"/>
  <c r="Y15" i="6"/>
  <c r="Y62" i="6" s="1"/>
  <c r="AU84" i="6"/>
  <c r="AO69" i="6"/>
  <c r="BA6" i="6"/>
  <c r="BA53" i="6" s="1"/>
  <c r="AF14" i="6"/>
  <c r="AF61" i="6" s="1"/>
  <c r="Z32" i="6"/>
  <c r="Z79" i="6" s="1"/>
  <c r="AA21" i="6"/>
  <c r="AA68" i="6" s="1"/>
  <c r="BS10" i="6"/>
  <c r="BS57" i="6" s="1"/>
  <c r="AJ17" i="6"/>
  <c r="AJ64" i="6" s="1"/>
  <c r="H42" i="6"/>
  <c r="H89" i="6" s="1"/>
  <c r="H25" i="6"/>
  <c r="H72" i="6" s="1"/>
  <c r="AN55" i="6"/>
  <c r="AH10" i="6"/>
  <c r="AH57" i="6" s="1"/>
  <c r="H10" i="6"/>
  <c r="H57" i="6" s="1"/>
  <c r="O18" i="6"/>
  <c r="O65" i="6" s="1"/>
  <c r="F7" i="6"/>
  <c r="F54" i="6" s="1"/>
  <c r="I45" i="6"/>
  <c r="I92" i="6" s="1"/>
  <c r="AH11" i="6"/>
  <c r="AH58" i="6" s="1"/>
  <c r="BB70" i="6"/>
  <c r="AL58" i="6"/>
  <c r="AJ24" i="6"/>
  <c r="AJ71" i="6" s="1"/>
  <c r="AD33" i="6"/>
  <c r="AD80" i="6" s="1"/>
  <c r="BA85" i="6"/>
  <c r="W10" i="6"/>
  <c r="W57" i="6" s="1"/>
  <c r="BC65" i="6"/>
  <c r="AQ61" i="6"/>
  <c r="Y28" i="6"/>
  <c r="Y75" i="6" s="1"/>
  <c r="AM73" i="6"/>
  <c r="AN71" i="6"/>
  <c r="AH17" i="6"/>
  <c r="AH64" i="6" s="1"/>
  <c r="AL85" i="6"/>
  <c r="P43" i="6"/>
  <c r="P90" i="6" s="1"/>
  <c r="AI9" i="6"/>
  <c r="AI56" i="6" s="1"/>
  <c r="AC15" i="6"/>
  <c r="AC62" i="6" s="1"/>
  <c r="AF37" i="6"/>
  <c r="AF84" i="6" s="1"/>
  <c r="AB38" i="6"/>
  <c r="AB85" i="6" s="1"/>
  <c r="BK21" i="6"/>
  <c r="BK68" i="6" s="1"/>
  <c r="AY73" i="6"/>
  <c r="AL89" i="6"/>
  <c r="Q9" i="6"/>
  <c r="Q56" i="6" s="1"/>
  <c r="S48" i="6"/>
  <c r="S95" i="6" s="1"/>
  <c r="M15" i="6"/>
  <c r="M62" i="6" s="1"/>
  <c r="X12" i="6"/>
  <c r="X59" i="6" s="1"/>
  <c r="AD38" i="6"/>
  <c r="AD85" i="6" s="1"/>
  <c r="BB88" i="6"/>
  <c r="Y10" i="6"/>
  <c r="Y57" i="6" s="1"/>
  <c r="M22" i="6"/>
  <c r="M69" i="6" s="1"/>
  <c r="K49" i="6"/>
  <c r="K96" i="6" s="1"/>
  <c r="Y21" i="6"/>
  <c r="Y68" i="6" s="1"/>
  <c r="BB82" i="6"/>
  <c r="BC73" i="6"/>
  <c r="AY90" i="6"/>
  <c r="AO68" i="6"/>
  <c r="AR90" i="6"/>
  <c r="AX82" i="6"/>
  <c r="AS92" i="6"/>
  <c r="AN68" i="6"/>
  <c r="Y35" i="6"/>
  <c r="Y82" i="6" s="1"/>
  <c r="AY87" i="6"/>
  <c r="AZ87" i="6"/>
  <c r="AO66" i="6"/>
  <c r="AB25" i="6"/>
  <c r="AB72" i="6" s="1"/>
  <c r="BA92" i="6"/>
  <c r="BA93" i="6"/>
  <c r="BA94" i="6"/>
  <c r="BA95" i="6"/>
  <c r="AN75" i="6"/>
  <c r="AV68" i="6"/>
  <c r="AE20" i="6"/>
  <c r="AE67" i="6" s="1"/>
  <c r="AF41" i="6"/>
  <c r="AF88" i="6" s="1"/>
  <c r="Z26" i="6"/>
  <c r="Z73" i="6" s="1"/>
  <c r="M29" i="6"/>
  <c r="M76" i="6" s="1"/>
  <c r="AI15" i="6"/>
  <c r="AI62" i="6" s="1"/>
  <c r="H19" i="6"/>
  <c r="H66" i="6" s="1"/>
  <c r="G18" i="6"/>
  <c r="G65" i="6" s="1"/>
  <c r="AH27" i="6"/>
  <c r="AH74" i="6" s="1"/>
  <c r="AB16" i="6"/>
  <c r="AB63" i="6" s="1"/>
  <c r="AJ49" i="6"/>
  <c r="AJ96" i="6"/>
  <c r="BS16" i="6"/>
  <c r="BS63" i="6" s="1"/>
  <c r="Y32" i="6"/>
  <c r="Y79" i="6" s="1"/>
  <c r="AR6" i="6"/>
  <c r="AR53" i="6" s="1"/>
  <c r="AL82" i="6"/>
  <c r="Y8" i="6"/>
  <c r="Y55" i="6" s="1"/>
  <c r="AL74" i="6"/>
  <c r="AN58" i="6"/>
  <c r="AL76" i="6"/>
  <c r="BL18" i="6"/>
  <c r="BL65" i="6" s="1"/>
  <c r="BW39" i="6"/>
  <c r="BW86" i="6" s="1"/>
  <c r="L28" i="6"/>
  <c r="L75" i="6" s="1"/>
  <c r="AA41" i="6"/>
  <c r="AA88" i="6" s="1"/>
  <c r="AB24" i="6"/>
  <c r="AB71" i="6" s="1"/>
  <c r="X25" i="6"/>
  <c r="X72" i="6" s="1"/>
  <c r="BP37" i="6"/>
  <c r="BP84" i="6" s="1"/>
  <c r="AD28" i="6"/>
  <c r="AD75" i="6" s="1"/>
  <c r="W32" i="6"/>
  <c r="W79" i="6" s="1"/>
  <c r="AD35" i="6"/>
  <c r="AD82" i="6" s="1"/>
  <c r="AA43" i="6"/>
  <c r="AA90" i="6" s="1"/>
  <c r="BJ20" i="6"/>
  <c r="BJ67" i="6" s="1"/>
  <c r="T29" i="6"/>
  <c r="T76" i="6" s="1"/>
  <c r="AJ36" i="6"/>
  <c r="AJ83" i="6" s="1"/>
  <c r="Z8" i="6"/>
  <c r="Z55" i="6" s="1"/>
  <c r="X21" i="6"/>
  <c r="X68" i="6" s="1"/>
  <c r="AA29" i="6"/>
  <c r="AA76" i="6" s="1"/>
  <c r="Z17" i="6"/>
  <c r="Z64" i="6" s="1"/>
  <c r="BU23" i="6"/>
  <c r="BU70" i="6" s="1"/>
  <c r="AC11" i="6"/>
  <c r="AC58" i="6" s="1"/>
  <c r="AL80" i="6"/>
  <c r="AD11" i="6"/>
  <c r="AD58" i="6" s="1"/>
  <c r="R14" i="6"/>
  <c r="R61" i="6" s="1"/>
  <c r="AE34" i="6"/>
  <c r="AE81" i="6" s="1"/>
  <c r="AO62" i="6"/>
  <c r="AM84" i="6"/>
  <c r="M28" i="6"/>
  <c r="M75" i="6" s="1"/>
  <c r="AA7" i="6"/>
  <c r="AA54" i="6" s="1"/>
  <c r="AO86" i="6"/>
  <c r="AA26" i="6"/>
  <c r="AA73" i="6" s="1"/>
  <c r="W15" i="6"/>
  <c r="W62" i="6" s="1"/>
  <c r="AT6" i="6"/>
  <c r="AT53" i="6" s="1"/>
  <c r="X16" i="6"/>
  <c r="X63" i="6" s="1"/>
  <c r="AH37" i="6"/>
  <c r="AH84" i="6" s="1"/>
  <c r="AH35" i="6"/>
  <c r="AH82" i="6" s="1"/>
  <c r="BA90" i="6"/>
  <c r="AD45" i="6"/>
  <c r="AD92" i="6" s="1"/>
  <c r="AE16" i="6"/>
  <c r="AE63" i="6" s="1"/>
  <c r="BA75" i="6"/>
  <c r="AL67" i="6"/>
  <c r="W18" i="6"/>
  <c r="W65" i="6" s="1"/>
  <c r="X26" i="6"/>
  <c r="X73" i="6" s="1"/>
  <c r="X30" i="6"/>
  <c r="X77" i="6" s="1"/>
  <c r="M25" i="6"/>
  <c r="M72" i="6" s="1"/>
  <c r="AL62" i="6"/>
  <c r="AB17" i="6"/>
  <c r="AB64" i="6" s="1"/>
  <c r="H49" i="6"/>
  <c r="H96" i="6" s="1"/>
  <c r="AC37" i="6"/>
  <c r="AC84" i="6" s="1"/>
  <c r="AM64" i="6"/>
  <c r="AF16" i="6"/>
  <c r="AF63" i="6" s="1"/>
  <c r="W37" i="6"/>
  <c r="W84" i="6" s="1"/>
  <c r="V36" i="6"/>
  <c r="V83" i="6" s="1"/>
  <c r="AL86" i="6"/>
  <c r="T22" i="6"/>
  <c r="T69" i="6" s="1"/>
  <c r="Y36" i="6"/>
  <c r="Y83" i="6" s="1"/>
  <c r="X36" i="6"/>
  <c r="X83" i="6" s="1"/>
  <c r="AO84" i="6"/>
  <c r="AA17" i="6"/>
  <c r="AA64" i="6" s="1"/>
  <c r="X14" i="6"/>
  <c r="X61" i="6" s="1"/>
  <c r="AJ28" i="6"/>
  <c r="AJ75" i="6" s="1"/>
  <c r="Z22" i="6"/>
  <c r="Z69" i="6" s="1"/>
  <c r="L41" i="6"/>
  <c r="L88" i="6" s="1"/>
  <c r="K6" i="6"/>
  <c r="K53" i="6" s="1"/>
  <c r="N18" i="6"/>
  <c r="N65" i="6" s="1"/>
  <c r="F22" i="6"/>
  <c r="F69" i="6" s="1"/>
  <c r="X39" i="6"/>
  <c r="X86" i="6" s="1"/>
  <c r="AE35" i="6"/>
  <c r="AE82" i="6" s="1"/>
  <c r="BJ30" i="6"/>
  <c r="BJ77" i="6" s="1"/>
  <c r="H35" i="6"/>
  <c r="H82" i="6" s="1"/>
  <c r="AD29" i="6"/>
  <c r="AD76" i="6" s="1"/>
  <c r="AG30" i="6"/>
  <c r="AG77" i="6" s="1"/>
  <c r="AN90" i="6"/>
  <c r="T11" i="6"/>
  <c r="T58" i="6" s="1"/>
  <c r="P26" i="6"/>
  <c r="P73" i="6" s="1"/>
  <c r="AC34" i="6"/>
  <c r="AC81" i="6" s="1"/>
  <c r="Z48" i="6"/>
  <c r="Z95" i="6" s="1"/>
  <c r="Y24" i="6"/>
  <c r="Y71" i="6" s="1"/>
  <c r="AC18" i="6"/>
  <c r="AC65" i="6" s="1"/>
  <c r="AC33" i="6"/>
  <c r="AC80" i="6" s="1"/>
  <c r="AF45" i="6"/>
  <c r="AF92" i="6" s="1"/>
  <c r="AF36" i="6"/>
  <c r="AF83" i="6" s="1"/>
  <c r="W35" i="6"/>
  <c r="W82" i="6" s="1"/>
  <c r="AA32" i="6"/>
  <c r="AA79" i="6" s="1"/>
  <c r="AO88" i="6"/>
  <c r="AW63" i="6"/>
  <c r="AO53" i="6"/>
  <c r="AU88" i="6"/>
  <c r="S28" i="6"/>
  <c r="S75" i="6" s="1"/>
  <c r="AC16" i="6"/>
  <c r="AC63" i="6" s="1"/>
  <c r="AC22" i="6"/>
  <c r="AC69" i="6" s="1"/>
  <c r="Z45" i="6"/>
  <c r="Z92" i="6" s="1"/>
  <c r="AN82" i="6"/>
  <c r="G41" i="6"/>
  <c r="G88" i="6" s="1"/>
  <c r="AI24" i="6"/>
  <c r="AI71" i="6" s="1"/>
  <c r="AF11" i="6"/>
  <c r="AF58" i="6" s="1"/>
  <c r="AG27" i="6"/>
  <c r="AG74" i="6" s="1"/>
  <c r="AT89" i="6"/>
  <c r="AI7" i="6"/>
  <c r="AI54" i="6" s="1"/>
  <c r="AG28" i="6"/>
  <c r="AG75" i="6" s="1"/>
  <c r="H6" i="6"/>
  <c r="H53" i="6" s="1"/>
  <c r="X24" i="6"/>
  <c r="X71" i="6" s="1"/>
  <c r="AS82" i="6"/>
  <c r="AS90" i="6"/>
  <c r="AT85" i="6"/>
  <c r="AM58" i="6"/>
  <c r="S9" i="6"/>
  <c r="S56" i="6" s="1"/>
  <c r="AM60" i="6"/>
  <c r="AZ90" i="6"/>
  <c r="AN79" i="6"/>
  <c r="AI46" i="6"/>
  <c r="AI93" i="6" s="1"/>
  <c r="AO82" i="6"/>
  <c r="AN73" i="6"/>
  <c r="AM87" i="6"/>
  <c r="W46" i="6"/>
  <c r="W93" i="6" s="1"/>
  <c r="X46" i="6"/>
  <c r="X93" i="6" s="1"/>
  <c r="AF31" i="6"/>
  <c r="AF78" i="6" s="1"/>
  <c r="R8" i="6"/>
  <c r="R55" i="6" s="1"/>
  <c r="Q45" i="6"/>
  <c r="Q92" i="6" s="1"/>
  <c r="BW23" i="6"/>
  <c r="BW70" i="6" s="1"/>
  <c r="Y49" i="6"/>
  <c r="Y96" i="6" s="1"/>
  <c r="AN67" i="6"/>
  <c r="V31" i="6"/>
  <c r="V78" i="6" s="1"/>
  <c r="R26" i="6"/>
  <c r="R73" i="6" s="1"/>
  <c r="AJ9" i="6"/>
  <c r="AJ56" i="6" s="1"/>
  <c r="L14" i="6"/>
  <c r="L61" i="6" s="1"/>
  <c r="BM10" i="6"/>
  <c r="BM57" i="6" s="1"/>
  <c r="X42" i="6"/>
  <c r="X89" i="6" s="1"/>
  <c r="AD24" i="6"/>
  <c r="AD71" i="6" s="1"/>
  <c r="AF15" i="6"/>
  <c r="AF62" i="6" s="1"/>
  <c r="AA37" i="6"/>
  <c r="AA84" i="6" s="1"/>
  <c r="Y30" i="6"/>
  <c r="Y77" i="6" s="1"/>
  <c r="AO76" i="6"/>
  <c r="Q25" i="6"/>
  <c r="Q72" i="6" s="1"/>
  <c r="AL63" i="6"/>
  <c r="AM77" i="6"/>
  <c r="L17" i="6"/>
  <c r="L64" i="6" s="1"/>
  <c r="G46" i="6"/>
  <c r="G93" i="6" s="1"/>
  <c r="T46" i="6"/>
  <c r="T93" i="6" s="1"/>
  <c r="AN65" i="6"/>
  <c r="L42" i="6"/>
  <c r="L89" i="6" s="1"/>
  <c r="I18" i="6"/>
  <c r="I65" i="6" s="1"/>
  <c r="G38" i="6"/>
  <c r="G85" i="6" s="1"/>
  <c r="AG36" i="6"/>
  <c r="AG83" i="6" s="1"/>
  <c r="N40" i="6"/>
  <c r="N87" i="6" s="1"/>
  <c r="O22" i="6"/>
  <c r="O69" i="6" s="1"/>
  <c r="BE21" i="6"/>
  <c r="BE68" i="6" s="1"/>
  <c r="V42" i="6"/>
  <c r="V89" i="6" s="1"/>
  <c r="L6" i="6"/>
  <c r="L53" i="6" s="1"/>
  <c r="Q34" i="6"/>
  <c r="Q81" i="6" s="1"/>
  <c r="T24" i="6"/>
  <c r="T71" i="6" s="1"/>
  <c r="AH25" i="6"/>
  <c r="AH72" i="6" s="1"/>
  <c r="BM37" i="6"/>
  <c r="BM84" i="6" s="1"/>
  <c r="W11" i="6"/>
  <c r="W58" i="6" s="1"/>
  <c r="BQ32" i="6"/>
  <c r="BQ79" i="6" s="1"/>
  <c r="R30" i="6"/>
  <c r="R77" i="6" s="1"/>
  <c r="AJ40" i="6"/>
  <c r="AJ87" i="6" s="1"/>
  <c r="AE32" i="6"/>
  <c r="AE79" i="6" s="1"/>
  <c r="AJ22" i="6"/>
  <c r="AJ69" i="6" s="1"/>
  <c r="BW9" i="6"/>
  <c r="BW56" i="6" s="1"/>
  <c r="AB29" i="6"/>
  <c r="AB76" i="6" s="1"/>
  <c r="J37" i="6"/>
  <c r="J84" i="6" s="1"/>
  <c r="AL66" i="6"/>
  <c r="AO70" i="6"/>
  <c r="AI28" i="6"/>
  <c r="AI75" i="6" s="1"/>
  <c r="AH47" i="6"/>
  <c r="AH94" i="6" s="1"/>
  <c r="N26" i="6"/>
  <c r="N73" i="6" s="1"/>
  <c r="BJ34" i="6"/>
  <c r="BJ81" i="6" s="1"/>
  <c r="AC9" i="6"/>
  <c r="AC56" i="6" s="1"/>
  <c r="K13" i="6"/>
  <c r="K60" i="6" s="1"/>
  <c r="AM86" i="6"/>
  <c r="O35" i="6"/>
  <c r="O82" i="6" s="1"/>
  <c r="AA20" i="6"/>
  <c r="AA67" i="6" s="1"/>
  <c r="BP17" i="6"/>
  <c r="BP64" i="6" s="1"/>
  <c r="W7" i="6"/>
  <c r="W54" i="6" s="1"/>
  <c r="H39" i="6"/>
  <c r="H86" i="6" s="1"/>
  <c r="J31" i="6"/>
  <c r="J78" i="6" s="1"/>
  <c r="AG8" i="6"/>
  <c r="AG55" i="6" s="1"/>
  <c r="BN21" i="6"/>
  <c r="BN68" i="6" s="1"/>
  <c r="AD46" i="6"/>
  <c r="AD93" i="6" s="1"/>
  <c r="AM85" i="6"/>
  <c r="N31" i="6"/>
  <c r="N78" i="6" s="1"/>
  <c r="P12" i="6"/>
  <c r="P59" i="6" s="1"/>
  <c r="BP40" i="6"/>
  <c r="BP87" i="6" s="1"/>
  <c r="AF23" i="6"/>
  <c r="AF70" i="6" s="1"/>
  <c r="BG40" i="6"/>
  <c r="BG87" i="6" s="1"/>
  <c r="H41" i="6"/>
  <c r="H88" i="6" s="1"/>
  <c r="AH43" i="6"/>
  <c r="AH90" i="6" s="1"/>
  <c r="W33" i="6"/>
  <c r="W80" i="6" s="1"/>
  <c r="BP38" i="6"/>
  <c r="BP85" i="6" s="1"/>
  <c r="S23" i="6"/>
  <c r="S70" i="6" s="1"/>
  <c r="BP14" i="6"/>
  <c r="BP61" i="6" s="1"/>
  <c r="BG18" i="6"/>
  <c r="BG65" i="6" s="1"/>
  <c r="BS24" i="6"/>
  <c r="BS71" i="6" s="1"/>
  <c r="AH39" i="6"/>
  <c r="AH86" i="6" s="1"/>
  <c r="AM68" i="6"/>
  <c r="T37" i="6"/>
  <c r="T84" i="6" s="1"/>
  <c r="AA39" i="6"/>
  <c r="AA86" i="6" s="1"/>
  <c r="BM39" i="6"/>
  <c r="BM86" i="6" s="1"/>
  <c r="AD9" i="6"/>
  <c r="AD56" i="6" s="1"/>
  <c r="AL73" i="6"/>
  <c r="H24" i="6"/>
  <c r="H71" i="6" s="1"/>
  <c r="Y39" i="6"/>
  <c r="Y86" i="6" s="1"/>
  <c r="AO71" i="6"/>
  <c r="Q41" i="6"/>
  <c r="Q88" i="6" s="1"/>
  <c r="O31" i="6"/>
  <c r="O78" i="6" s="1"/>
  <c r="BV28" i="6"/>
  <c r="BV75" i="6" s="1"/>
  <c r="AM65" i="6"/>
  <c r="I38" i="6"/>
  <c r="I85" i="6" s="1"/>
  <c r="AA14" i="6"/>
  <c r="AA61" i="6" s="1"/>
  <c r="AJ34" i="6"/>
  <c r="AJ81" i="6" s="1"/>
  <c r="AJ45" i="6"/>
  <c r="AJ92" i="6" s="1"/>
  <c r="BM26" i="6"/>
  <c r="BM73" i="6" s="1"/>
  <c r="BL38" i="6"/>
  <c r="BL85" i="6" s="1"/>
  <c r="AE31" i="6"/>
  <c r="AE78" i="6" s="1"/>
  <c r="AC45" i="6"/>
  <c r="AC92" i="6" s="1"/>
  <c r="AE13" i="6"/>
  <c r="AE60" i="6" s="1"/>
  <c r="AM82" i="6"/>
  <c r="Z18" i="6"/>
  <c r="Z65" i="6" s="1"/>
  <c r="F13" i="6"/>
  <c r="F60" i="6" s="1"/>
  <c r="AL57" i="6"/>
  <c r="N23" i="6"/>
  <c r="N70" i="6" s="1"/>
  <c r="W31" i="6"/>
  <c r="W78" i="6" s="1"/>
  <c r="AI20" i="6"/>
  <c r="AI67" i="6" s="1"/>
  <c r="AO61" i="6"/>
  <c r="AE33" i="6"/>
  <c r="AE80" i="6" s="1"/>
  <c r="AC8" i="6"/>
  <c r="AC55" i="6" s="1"/>
  <c r="AC27" i="6"/>
  <c r="AC74" i="6" s="1"/>
  <c r="AB37" i="6"/>
  <c r="AB84" i="6" s="1"/>
  <c r="BF31" i="6"/>
  <c r="BF78" i="6" s="1"/>
  <c r="J19" i="6"/>
  <c r="J66" i="6" s="1"/>
  <c r="S46" i="6"/>
  <c r="S93" i="6" s="1"/>
  <c r="F8" i="6"/>
  <c r="F55" i="6" s="1"/>
  <c r="Z19" i="6"/>
  <c r="Z66" i="6" s="1"/>
  <c r="Q26" i="6"/>
  <c r="Q73" i="6" s="1"/>
  <c r="AN83" i="6"/>
  <c r="H37" i="6"/>
  <c r="H84" i="6" s="1"/>
  <c r="I29" i="6"/>
  <c r="I76" i="6" s="1"/>
  <c r="S19" i="6"/>
  <c r="S66" i="6" s="1"/>
  <c r="R16" i="6"/>
  <c r="R63" i="6" s="1"/>
  <c r="AD23" i="6"/>
  <c r="AD70" i="6" s="1"/>
  <c r="AC29" i="6"/>
  <c r="AC76" i="6" s="1"/>
  <c r="AL77" i="6"/>
  <c r="X29" i="6"/>
  <c r="X76" i="6" s="1"/>
  <c r="AB26" i="6"/>
  <c r="AB73" i="6" s="1"/>
  <c r="AA12" i="6"/>
  <c r="AA59" i="6" s="1"/>
  <c r="BP25" i="6"/>
  <c r="BP72" i="6" s="1"/>
  <c r="BU20" i="6"/>
  <c r="BU67" i="6" s="1"/>
  <c r="F28" i="6"/>
  <c r="F75" i="6" s="1"/>
  <c r="BQ11" i="6"/>
  <c r="BQ58" i="6" s="1"/>
  <c r="AE25" i="6"/>
  <c r="AE72" i="6" s="1"/>
  <c r="Z15" i="6"/>
  <c r="Z62" i="6" s="1"/>
  <c r="N15" i="6"/>
  <c r="N62" i="6" s="1"/>
  <c r="AA22" i="6"/>
  <c r="AA69" i="6" s="1"/>
  <c r="Z42" i="6"/>
  <c r="Z89" i="6" s="1"/>
  <c r="M9" i="6"/>
  <c r="M56" i="6" s="1"/>
  <c r="AB34" i="6"/>
  <c r="AB81" i="6" s="1"/>
  <c r="AE10" i="6"/>
  <c r="AE57" i="6" s="1"/>
  <c r="O47" i="6"/>
  <c r="O94" i="6" s="1"/>
  <c r="AB8" i="6"/>
  <c r="AB55" i="6" s="1"/>
  <c r="BQ9" i="6"/>
  <c r="BQ56" i="6" s="1"/>
  <c r="L31" i="6"/>
  <c r="L78" i="6" s="1"/>
  <c r="BT13" i="6"/>
  <c r="BT60" i="6" s="1"/>
  <c r="AE21" i="6"/>
  <c r="AE68" i="6" s="1"/>
  <c r="BF25" i="6"/>
  <c r="BF72" i="6" s="1"/>
  <c r="BN18" i="6"/>
  <c r="BN65" i="6" s="1"/>
  <c r="M38" i="6"/>
  <c r="M85" i="6" s="1"/>
  <c r="K32" i="6"/>
  <c r="K79" i="6" s="1"/>
  <c r="R17" i="6"/>
  <c r="R64" i="6" s="1"/>
  <c r="P32" i="6"/>
  <c r="P79" i="6" s="1"/>
  <c r="AB40" i="6"/>
  <c r="AB87" i="6" s="1"/>
  <c r="AG40" i="6"/>
  <c r="AG87" i="6" s="1"/>
  <c r="O11" i="6"/>
  <c r="O58" i="6" s="1"/>
  <c r="AH23" i="6"/>
  <c r="AH70" i="6" s="1"/>
  <c r="AD20" i="6"/>
  <c r="AD67" i="6" s="1"/>
  <c r="AB46" i="6"/>
  <c r="AB93" i="6" s="1"/>
  <c r="AA18" i="6"/>
  <c r="AA65" i="6" s="1"/>
  <c r="AB49" i="6"/>
  <c r="AB96" i="6" s="1"/>
  <c r="AE47" i="6"/>
  <c r="AE94" i="6" s="1"/>
  <c r="P49" i="6"/>
  <c r="P96" i="6" s="1"/>
  <c r="AM70" i="6"/>
  <c r="AY92" i="6"/>
  <c r="AY93" i="6"/>
  <c r="AY94" i="6"/>
  <c r="AY95" i="6"/>
  <c r="AY96" i="6"/>
  <c r="AI18" i="6"/>
  <c r="AI65" i="6" s="1"/>
  <c r="AI25" i="6"/>
  <c r="AI72" i="6" s="1"/>
  <c r="BS14" i="6"/>
  <c r="BS61" i="6" s="1"/>
  <c r="BM18" i="6"/>
  <c r="BM65" i="6" s="1"/>
  <c r="Q35" i="6"/>
  <c r="Q82" i="6" s="1"/>
  <c r="AI19" i="6"/>
  <c r="AI66" i="6" s="1"/>
  <c r="AM78" i="6"/>
  <c r="AF25" i="6"/>
  <c r="AF72" i="6" s="1"/>
  <c r="AB23" i="6"/>
  <c r="AB70" i="6" s="1"/>
  <c r="BN6" i="6"/>
  <c r="BN53" i="6" s="1"/>
  <c r="BV11" i="6"/>
  <c r="BV58" i="6" s="1"/>
  <c r="K25" i="6"/>
  <c r="K72" i="6" s="1"/>
  <c r="T8" i="6"/>
  <c r="T55" i="6" s="1"/>
  <c r="AC35" i="6"/>
  <c r="AC82" i="6" s="1"/>
  <c r="L29" i="6"/>
  <c r="L76" i="6" s="1"/>
  <c r="M48" i="6"/>
  <c r="M95" i="6" s="1"/>
  <c r="AH48" i="6"/>
  <c r="AH95" i="6" s="1"/>
  <c r="V48" i="6"/>
  <c r="V95" i="6" s="1"/>
  <c r="V10" i="6"/>
  <c r="V57" i="6" s="1"/>
  <c r="AB31" i="6"/>
  <c r="AB78" i="6" s="1"/>
  <c r="AA42" i="6"/>
  <c r="AA89" i="6" s="1"/>
  <c r="Y27" i="6"/>
  <c r="Y74" i="6" s="1"/>
  <c r="BP33" i="6"/>
  <c r="BP80" i="6" s="1"/>
  <c r="AD36" i="6"/>
  <c r="AD83" i="6" s="1"/>
  <c r="BK40" i="6"/>
  <c r="BK87" i="6" s="1"/>
  <c r="AB12" i="6"/>
  <c r="AB59" i="6" s="1"/>
  <c r="W48" i="6"/>
  <c r="W95" i="6" s="1"/>
  <c r="J46" i="6"/>
  <c r="J93" i="6" s="1"/>
  <c r="Y34" i="6"/>
  <c r="Y81" i="6" s="1"/>
  <c r="R13" i="6"/>
  <c r="R60" i="6" s="1"/>
  <c r="BL17" i="6"/>
  <c r="BL64" i="6" s="1"/>
  <c r="AN74" i="6"/>
  <c r="AG43" i="6"/>
  <c r="AG90" i="6" s="1"/>
  <c r="M12" i="6"/>
  <c r="M59" i="6" s="1"/>
  <c r="K9" i="6"/>
  <c r="K56" i="6" s="1"/>
  <c r="R12" i="6"/>
  <c r="R59" i="6" s="1"/>
  <c r="BN33" i="6"/>
  <c r="BN80" i="6" s="1"/>
  <c r="I11" i="6"/>
  <c r="I58" i="6" s="1"/>
  <c r="AE19" i="6"/>
  <c r="AE66" i="6" s="1"/>
  <c r="X40" i="6"/>
  <c r="X87" i="6" s="1"/>
  <c r="BW41" i="6"/>
  <c r="BW88" i="6" s="1"/>
  <c r="BW21" i="6"/>
  <c r="BW68" i="6" s="1"/>
  <c r="W26" i="6"/>
  <c r="W73" i="6" s="1"/>
  <c r="K47" i="6"/>
  <c r="K94" i="6" s="1"/>
  <c r="AF27" i="6"/>
  <c r="AF74" i="6" s="1"/>
  <c r="X43" i="6"/>
  <c r="X90" i="6" s="1"/>
  <c r="AH9" i="6"/>
  <c r="AH56" i="6" s="1"/>
  <c r="X45" i="6"/>
  <c r="X92" i="6" s="1"/>
  <c r="P11" i="6"/>
  <c r="P58" i="6" s="1"/>
  <c r="AG15" i="6"/>
  <c r="AG62" i="6" s="1"/>
  <c r="P45" i="6"/>
  <c r="P92" i="6" s="1"/>
  <c r="BR14" i="6"/>
  <c r="BR61" i="6" s="1"/>
  <c r="F11" i="6"/>
  <c r="F58" i="6" s="1"/>
  <c r="W38" i="6"/>
  <c r="W85" i="6" s="1"/>
  <c r="J45" i="6"/>
  <c r="J92" i="6" s="1"/>
  <c r="V26" i="6"/>
  <c r="V73" i="6" s="1"/>
  <c r="BG8" i="6"/>
  <c r="BG55" i="6" s="1"/>
  <c r="BL37" i="6"/>
  <c r="BL84" i="6" s="1"/>
  <c r="J48" i="6"/>
  <c r="J95" i="6" s="1"/>
  <c r="V38" i="6"/>
  <c r="V85" i="6" s="1"/>
  <c r="Q48" i="6"/>
  <c r="Q95" i="6" s="1"/>
  <c r="AD16" i="6"/>
  <c r="AD63" i="6" s="1"/>
  <c r="AO77" i="6"/>
  <c r="X10" i="6"/>
  <c r="X57" i="6" s="1"/>
  <c r="BJ33" i="6"/>
  <c r="BJ80" i="6" s="1"/>
  <c r="T19" i="6"/>
  <c r="T66" i="6" s="1"/>
  <c r="AE39" i="6"/>
  <c r="AE86" i="6" s="1"/>
  <c r="R39" i="6"/>
  <c r="R86" i="6" s="1"/>
  <c r="AB13" i="6"/>
  <c r="AB60" i="6" s="1"/>
  <c r="AG34" i="6"/>
  <c r="AG81" i="6" s="1"/>
  <c r="AE28" i="6"/>
  <c r="AE75" i="6" s="1"/>
  <c r="BK18" i="6"/>
  <c r="BK65" i="6" s="1"/>
  <c r="AO58" i="6"/>
  <c r="AI30" i="6"/>
  <c r="AI77" i="6" s="1"/>
  <c r="Y46" i="6"/>
  <c r="Y93" i="6" s="1"/>
  <c r="AE17" i="6"/>
  <c r="AE64" i="6" s="1"/>
  <c r="BL42" i="6"/>
  <c r="BL89" i="6" s="1"/>
  <c r="AF8" i="6"/>
  <c r="AF55" i="6" s="1"/>
  <c r="BM24" i="6"/>
  <c r="BM71" i="6" s="1"/>
  <c r="F30" i="6"/>
  <c r="F77" i="6" s="1"/>
  <c r="AC7" i="6"/>
  <c r="AC54" i="6" s="1"/>
  <c r="AI40" i="6"/>
  <c r="AI87" i="6" s="1"/>
  <c r="AJ10" i="6"/>
  <c r="AJ57" i="6" s="1"/>
  <c r="AL61" i="6"/>
  <c r="AJ30" i="6"/>
  <c r="AJ77" i="6" s="1"/>
  <c r="AC14" i="6"/>
  <c r="AC61" i="6" s="1"/>
  <c r="AO67" i="6"/>
  <c r="AN81" i="6"/>
  <c r="V9" i="6"/>
  <c r="V56" i="6" s="1"/>
  <c r="Z40" i="6"/>
  <c r="Z87" i="6" s="1"/>
  <c r="AD12" i="6"/>
  <c r="AD59" i="6" s="1"/>
  <c r="M24" i="6"/>
  <c r="M71" i="6" s="1"/>
  <c r="BK30" i="6"/>
  <c r="BK77" i="6" s="1"/>
  <c r="G22" i="6"/>
  <c r="G69" i="6" s="1"/>
  <c r="BH11" i="6"/>
  <c r="BH58" i="6" s="1"/>
  <c r="Y18" i="6"/>
  <c r="Y65" i="6" s="1"/>
  <c r="P34" i="6"/>
  <c r="P81" i="6" s="1"/>
  <c r="AC17" i="6"/>
  <c r="AC64" i="6" s="1"/>
  <c r="AH30" i="6"/>
  <c r="AH77" i="6" s="1"/>
  <c r="Z23" i="6"/>
  <c r="Z70" i="6" s="1"/>
  <c r="X38" i="6"/>
  <c r="X85" i="6" s="1"/>
  <c r="V18" i="6"/>
  <c r="V65" i="6" s="1"/>
  <c r="AG42" i="6"/>
  <c r="AG89" i="6" s="1"/>
  <c r="O34" i="6"/>
  <c r="O81" i="6" s="1"/>
  <c r="BV38" i="6"/>
  <c r="BV85" i="6" s="1"/>
  <c r="Y9" i="6"/>
  <c r="Y56" i="6" s="1"/>
  <c r="AH34" i="6"/>
  <c r="AH81" i="6" s="1"/>
  <c r="AA8" i="6"/>
  <c r="AA55" i="6" s="1"/>
  <c r="L35" i="6"/>
  <c r="L82" i="6" s="1"/>
  <c r="Z10" i="6"/>
  <c r="Z57" i="6" s="1"/>
  <c r="X23" i="6"/>
  <c r="X70" i="6" s="1"/>
  <c r="BG41" i="6"/>
  <c r="BG88" i="6" s="1"/>
  <c r="H11" i="6"/>
  <c r="H58" i="6" s="1"/>
  <c r="BJ13" i="6"/>
  <c r="BJ60" i="6" s="1"/>
  <c r="N24" i="6"/>
  <c r="N71" i="6" s="1"/>
  <c r="AJ27" i="6"/>
  <c r="AJ74" i="6" s="1"/>
  <c r="BW38" i="6"/>
  <c r="BW85" i="6" s="1"/>
  <c r="BK35" i="6"/>
  <c r="BK82" i="6" s="1"/>
  <c r="H29" i="6"/>
  <c r="H76" i="6" s="1"/>
  <c r="H15" i="6"/>
  <c r="H62" i="6" s="1"/>
  <c r="X7" i="6"/>
  <c r="X54" i="6" s="1"/>
  <c r="AE38" i="6"/>
  <c r="AE85" i="6" s="1"/>
  <c r="BJ16" i="6"/>
  <c r="BJ63" i="6" s="1"/>
  <c r="AD15" i="6"/>
  <c r="AD62" i="6" s="1"/>
  <c r="R33" i="6"/>
  <c r="R80" i="6" s="1"/>
  <c r="BG6" i="6"/>
  <c r="BG53" i="6" s="1"/>
  <c r="AB11" i="6"/>
  <c r="AB58" i="6" s="1"/>
  <c r="X35" i="6"/>
  <c r="X82" i="6" s="1"/>
  <c r="J36" i="6"/>
  <c r="J83" i="6" s="1"/>
  <c r="BL40" i="6"/>
  <c r="BL87" i="6" s="1"/>
  <c r="S25" i="6"/>
  <c r="S72" i="6" s="1"/>
  <c r="AG7" i="6"/>
  <c r="AG54" i="6" s="1"/>
  <c r="AA24" i="6"/>
  <c r="AA71" i="6" s="1"/>
  <c r="F39" i="6"/>
  <c r="F86" i="6" s="1"/>
  <c r="BG24" i="6"/>
  <c r="BG71" i="6" s="1"/>
  <c r="G39" i="6"/>
  <c r="G86" i="6" s="1"/>
  <c r="BW33" i="6"/>
  <c r="BW80" i="6" s="1"/>
  <c r="G33" i="6"/>
  <c r="G80" i="6" s="1"/>
  <c r="F6" i="6"/>
  <c r="F53" i="6" s="1"/>
  <c r="AI32" i="6"/>
  <c r="AI79" i="6" s="1"/>
  <c r="J32" i="6"/>
  <c r="J79" i="6" s="1"/>
  <c r="O14" i="6"/>
  <c r="O61" i="6" s="1"/>
  <c r="Q49" i="6"/>
  <c r="Q96" i="6" s="1"/>
  <c r="AA28" i="6"/>
  <c r="AA75" i="6" s="1"/>
  <c r="AB20" i="6"/>
  <c r="AB67" i="6" s="1"/>
  <c r="AE11" i="6"/>
  <c r="AE58" i="6" s="1"/>
  <c r="AH46" i="6"/>
  <c r="AH93" i="6" s="1"/>
  <c r="BL22" i="6"/>
  <c r="BL69" i="6" s="1"/>
  <c r="BS20" i="6"/>
  <c r="BS67" i="6" s="1"/>
  <c r="BG27" i="6"/>
  <c r="BG74" i="6" s="1"/>
  <c r="K37" i="6"/>
  <c r="K84" i="6" s="1"/>
  <c r="AF12" i="6"/>
  <c r="AF59" i="6" s="1"/>
  <c r="K20" i="6"/>
  <c r="K67" i="6" s="1"/>
  <c r="BW11" i="6"/>
  <c r="BW58" i="6" s="1"/>
  <c r="V7" i="6"/>
  <c r="V54" i="6" s="1"/>
  <c r="J22" i="6"/>
  <c r="J69" i="6" s="1"/>
  <c r="O37" i="6"/>
  <c r="O84" i="6" s="1"/>
  <c r="Y45" i="6"/>
  <c r="Y92" i="6" s="1"/>
  <c r="Q16" i="6"/>
  <c r="Q63" i="6" s="1"/>
  <c r="P29" i="6"/>
  <c r="P76" i="6" s="1"/>
  <c r="R49" i="6"/>
  <c r="R96" i="6" s="1"/>
  <c r="J42" i="6"/>
  <c r="J89" i="6" s="1"/>
  <c r="K38" i="6"/>
  <c r="K85" i="6" s="1"/>
  <c r="P8" i="6"/>
  <c r="P55" i="6" s="1"/>
  <c r="O27" i="6"/>
  <c r="O74" i="6" s="1"/>
  <c r="F48" i="6"/>
  <c r="F95" i="6" s="1"/>
  <c r="BR35" i="6"/>
  <c r="BR82" i="6" s="1"/>
  <c r="L36" i="6"/>
  <c r="L83" i="6" s="1"/>
  <c r="AC47" i="6"/>
  <c r="AC94" i="6" s="1"/>
  <c r="F37" i="6"/>
  <c r="F84" i="6" s="1"/>
  <c r="BT9" i="6"/>
  <c r="BT56" i="6" s="1"/>
  <c r="L20" i="6"/>
  <c r="L67" i="6" s="1"/>
  <c r="BO42" i="6"/>
  <c r="BO89" i="6" s="1"/>
  <c r="BG21" i="6"/>
  <c r="BG68" i="6" s="1"/>
  <c r="L27" i="6"/>
  <c r="L74" i="6" s="1"/>
  <c r="F41" i="6"/>
  <c r="F88" i="6" s="1"/>
  <c r="AG25" i="6"/>
  <c r="AG72" i="6" s="1"/>
  <c r="Y38" i="6"/>
  <c r="Y85" i="6" s="1"/>
  <c r="AE18" i="6"/>
  <c r="AE65" i="6" s="1"/>
  <c r="AH22" i="6"/>
  <c r="AH69" i="6" s="1"/>
  <c r="BU10" i="6"/>
  <c r="BU57" i="6" s="1"/>
  <c r="G8" i="6"/>
  <c r="G55" i="6" s="1"/>
  <c r="AI31" i="6"/>
  <c r="AI78" i="6" s="1"/>
  <c r="I26" i="6"/>
  <c r="I73" i="6" s="1"/>
  <c r="BO43" i="6"/>
  <c r="BO90" i="6" s="1"/>
  <c r="AB45" i="6"/>
  <c r="AB92" i="6" s="1"/>
  <c r="AE9" i="6"/>
  <c r="AE56" i="6" s="1"/>
  <c r="AG20" i="6"/>
  <c r="AG67" i="6" s="1"/>
  <c r="F10" i="6"/>
  <c r="F57" i="6" s="1"/>
  <c r="BW28" i="6"/>
  <c r="BW75" i="6" s="1"/>
  <c r="M20" i="6"/>
  <c r="M67" i="6" s="1"/>
  <c r="BG37" i="6"/>
  <c r="BG84" i="6" s="1"/>
  <c r="J13" i="6"/>
  <c r="J60" i="6" s="1"/>
  <c r="AJ13" i="6"/>
  <c r="AJ60" i="6" s="1"/>
  <c r="BR20" i="6"/>
  <c r="BR67" i="6" s="1"/>
  <c r="G47" i="6"/>
  <c r="G94" i="6" s="1"/>
  <c r="BL23" i="6"/>
  <c r="BL70" i="6" s="1"/>
  <c r="P9" i="6"/>
  <c r="P56" i="6" s="1"/>
  <c r="H26" i="6"/>
  <c r="H73" i="6" s="1"/>
  <c r="G13" i="6"/>
  <c r="G60" i="6" s="1"/>
  <c r="BJ39" i="6"/>
  <c r="BJ86" i="6" s="1"/>
  <c r="BF24" i="6"/>
  <c r="BF71" i="6" s="1"/>
  <c r="W40" i="6"/>
  <c r="W87" i="6" s="1"/>
  <c r="BT42" i="6"/>
  <c r="BT89" i="6" s="1"/>
  <c r="AI12" i="6"/>
  <c r="AI59" i="6" s="1"/>
  <c r="G29" i="6"/>
  <c r="G76" i="6" s="1"/>
  <c r="BR17" i="6"/>
  <c r="BR64" i="6" s="1"/>
  <c r="P36" i="6"/>
  <c r="P83" i="6" s="1"/>
  <c r="H18" i="6"/>
  <c r="H65" i="6" s="1"/>
  <c r="T30" i="6"/>
  <c r="T77" i="6" s="1"/>
  <c r="H28" i="6"/>
  <c r="H75" i="6" s="1"/>
  <c r="Z33" i="6"/>
  <c r="Z80" i="6" s="1"/>
  <c r="BK32" i="6"/>
  <c r="BK79" i="6" s="1"/>
  <c r="AO78" i="6"/>
  <c r="Z39" i="6"/>
  <c r="Z86" i="6" s="1"/>
  <c r="BH8" i="6"/>
  <c r="BH55" i="6" s="1"/>
  <c r="M18" i="6"/>
  <c r="M65" i="6" s="1"/>
  <c r="BH18" i="6"/>
  <c r="BH65" i="6" s="1"/>
  <c r="AA35" i="6"/>
  <c r="AA82" i="6" s="1"/>
  <c r="BS8" i="6"/>
  <c r="BS55" i="6" s="1"/>
  <c r="AH13" i="6"/>
  <c r="AH60" i="6" s="1"/>
  <c r="BW18" i="6"/>
  <c r="BW65" i="6" s="1"/>
  <c r="M43" i="6"/>
  <c r="M90" i="6" s="1"/>
  <c r="BM27" i="6"/>
  <c r="BM74" i="6" s="1"/>
  <c r="BU16" i="6"/>
  <c r="BU63" i="6" s="1"/>
  <c r="S15" i="6"/>
  <c r="S62" i="6" s="1"/>
  <c r="BP28" i="6"/>
  <c r="BP75" i="6" s="1"/>
  <c r="V8" i="6"/>
  <c r="V55" i="6" s="1"/>
  <c r="BO18" i="6"/>
  <c r="BO65" i="6" s="1"/>
  <c r="Q19" i="6"/>
  <c r="Q66" i="6" s="1"/>
  <c r="L37" i="6"/>
  <c r="L84" i="6" s="1"/>
  <c r="I7" i="6"/>
  <c r="I54" i="6" s="1"/>
  <c r="O21" i="6"/>
  <c r="O68" i="6" s="1"/>
  <c r="I35" i="6"/>
  <c r="I82" i="6" s="1"/>
  <c r="W49" i="6"/>
  <c r="W96" i="6" s="1"/>
  <c r="AF35" i="6"/>
  <c r="AF82" i="6" s="1"/>
  <c r="AJ21" i="6"/>
  <c r="AJ68" i="6" s="1"/>
  <c r="F18" i="6"/>
  <c r="F65" i="6" s="1"/>
  <c r="AG24" i="6"/>
  <c r="AG71" i="6" s="1"/>
  <c r="Q18" i="6"/>
  <c r="Q65" i="6" s="1"/>
  <c r="O48" i="6"/>
  <c r="O95" i="6" s="1"/>
  <c r="BN32" i="6"/>
  <c r="BN79" i="6" s="1"/>
  <c r="AO85" i="6"/>
  <c r="N21" i="6"/>
  <c r="N68" i="6" s="1"/>
  <c r="Z36" i="6"/>
  <c r="Z83" i="6" s="1"/>
  <c r="S31" i="6"/>
  <c r="S78" i="6" s="1"/>
  <c r="V15" i="6"/>
  <c r="V62" i="6" s="1"/>
  <c r="BT14" i="6"/>
  <c r="BT61" i="6" s="1"/>
  <c r="W34" i="6"/>
  <c r="W81" i="6" s="1"/>
  <c r="AA15" i="6"/>
  <c r="AA62" i="6" s="1"/>
  <c r="BT37" i="6"/>
  <c r="BT84" i="6" s="1"/>
  <c r="M39" i="6"/>
  <c r="M86" i="6" s="1"/>
  <c r="AD21" i="6"/>
  <c r="AD68" i="6" s="1"/>
  <c r="AI16" i="6"/>
  <c r="AI63" i="6" s="1"/>
  <c r="BS36" i="6"/>
  <c r="BS83" i="6" s="1"/>
  <c r="AN62" i="6"/>
  <c r="AD47" i="6"/>
  <c r="AD94" i="6" s="1"/>
  <c r="BJ29" i="6"/>
  <c r="BJ76" i="6" s="1"/>
  <c r="G6" i="6"/>
  <c r="G53" i="6" s="1"/>
  <c r="BP39" i="6"/>
  <c r="BP86" i="6" s="1"/>
  <c r="BT10" i="6"/>
  <c r="BT57" i="6" s="1"/>
  <c r="AJ18" i="6"/>
  <c r="AJ65" i="6" s="1"/>
  <c r="W17" i="6"/>
  <c r="W64" i="6" s="1"/>
  <c r="M33" i="6"/>
  <c r="M80" i="6" s="1"/>
  <c r="N10" i="6"/>
  <c r="N57" i="6" s="1"/>
  <c r="AF40" i="6"/>
  <c r="AF87" i="6" s="1"/>
  <c r="BW42" i="6"/>
  <c r="BW89" i="6" s="1"/>
  <c r="BL39" i="6"/>
  <c r="BL86" i="6" s="1"/>
  <c r="S13" i="6"/>
  <c r="S60" i="6" s="1"/>
  <c r="AE24" i="6"/>
  <c r="AE71" i="6" s="1"/>
  <c r="AI27" i="6"/>
  <c r="AI74" i="6" s="1"/>
  <c r="O30" i="6"/>
  <c r="O77" i="6" s="1"/>
  <c r="BL12" i="6"/>
  <c r="BL59" i="6" s="1"/>
  <c r="O43" i="6"/>
  <c r="O90" i="6" s="1"/>
  <c r="V24" i="6"/>
  <c r="V71" i="6" s="1"/>
  <c r="Z20" i="6"/>
  <c r="Z67" i="6" s="1"/>
  <c r="BO14" i="6"/>
  <c r="BO61" i="6" s="1"/>
  <c r="BU9" i="6"/>
  <c r="BU56" i="6" s="1"/>
  <c r="BQ30" i="6"/>
  <c r="BQ77" i="6" s="1"/>
  <c r="AN72" i="6"/>
  <c r="BW40" i="6"/>
  <c r="BW87" i="6" s="1"/>
  <c r="P47" i="6"/>
  <c r="P94" i="6" s="1"/>
  <c r="R43" i="6"/>
  <c r="R90" i="6" s="1"/>
  <c r="BT17" i="6"/>
  <c r="BT64" i="6" s="1"/>
  <c r="R21" i="6"/>
  <c r="R68" i="6" s="1"/>
  <c r="S42" i="6"/>
  <c r="S89" i="6" s="1"/>
  <c r="AH33" i="6"/>
  <c r="AH80" i="6" s="1"/>
  <c r="M40" i="6"/>
  <c r="M87" i="6" s="1"/>
  <c r="V29" i="6"/>
  <c r="V76" i="6" s="1"/>
  <c r="AH29" i="6"/>
  <c r="AH76" i="6" s="1"/>
  <c r="P33" i="6"/>
  <c r="P80" i="6" s="1"/>
  <c r="AJ25" i="6"/>
  <c r="AJ72" i="6" s="1"/>
  <c r="BK38" i="6"/>
  <c r="BK85" i="6" s="1"/>
  <c r="R42" i="6"/>
  <c r="R89" i="6" s="1"/>
  <c r="BT8" i="6"/>
  <c r="BT55" i="6" s="1"/>
  <c r="K34" i="6"/>
  <c r="K81" i="6" s="1"/>
  <c r="AB33" i="6"/>
  <c r="AB80" i="6" s="1"/>
  <c r="BT21" i="6"/>
  <c r="BT68" i="6" s="1"/>
  <c r="K12" i="6"/>
  <c r="K59" i="6" s="1"/>
  <c r="BT16" i="6"/>
  <c r="BT63" i="6" s="1"/>
  <c r="AN60" i="6"/>
  <c r="P27" i="6"/>
  <c r="P74" i="6" s="1"/>
  <c r="AE45" i="6"/>
  <c r="AE92" i="6" s="1"/>
  <c r="BK22" i="6"/>
  <c r="BK69" i="6" s="1"/>
  <c r="W21" i="6"/>
  <c r="W68" i="6" s="1"/>
  <c r="X27" i="6"/>
  <c r="X74" i="6" s="1"/>
  <c r="F19" i="6"/>
  <c r="F66" i="6" s="1"/>
  <c r="AG21" i="6"/>
  <c r="AG68" i="6" s="1"/>
  <c r="V39" i="6"/>
  <c r="V86" i="6" s="1"/>
  <c r="AH24" i="6"/>
  <c r="AH71" i="6" s="1"/>
  <c r="T47" i="6"/>
  <c r="T94" i="6" s="1"/>
  <c r="V17" i="6"/>
  <c r="V64" i="6" s="1"/>
  <c r="Z11" i="6"/>
  <c r="Z58" i="6" s="1"/>
  <c r="BK13" i="6"/>
  <c r="BK60" i="6" s="1"/>
  <c r="Y19" i="6"/>
  <c r="Y66" i="6" s="1"/>
  <c r="J43" i="6"/>
  <c r="J90" i="6" s="1"/>
  <c r="BS21" i="6"/>
  <c r="BS68" i="6" s="1"/>
  <c r="P24" i="6"/>
  <c r="P71" i="6" s="1"/>
  <c r="AC43" i="6"/>
  <c r="AC90" i="6" s="1"/>
  <c r="AF46" i="6"/>
  <c r="AF93" i="6" s="1"/>
  <c r="S12" i="6"/>
  <c r="S59" i="6" s="1"/>
  <c r="X8" i="6"/>
  <c r="X55" i="6" s="1"/>
  <c r="AG38" i="6"/>
  <c r="AG85" i="6" s="1"/>
  <c r="L49" i="6"/>
  <c r="L96" i="6" s="1"/>
  <c r="AA36" i="6"/>
  <c r="AA83" i="6" s="1"/>
  <c r="AC42" i="6"/>
  <c r="AC89" i="6" s="1"/>
  <c r="AG37" i="6"/>
  <c r="AG84" i="6" s="1"/>
  <c r="BR28" i="6"/>
  <c r="BR75" i="6" s="1"/>
  <c r="AB48" i="6"/>
  <c r="AB95" i="6" s="1"/>
  <c r="H7" i="6"/>
  <c r="H54" i="6" s="1"/>
  <c r="BL20" i="6"/>
  <c r="BL67" i="6" s="1"/>
  <c r="V35" i="6"/>
  <c r="V82" i="6" s="1"/>
  <c r="M27" i="6"/>
  <c r="M74" i="6" s="1"/>
  <c r="L10" i="6"/>
  <c r="L57" i="6" s="1"/>
  <c r="BW35" i="6"/>
  <c r="BW82" i="6" s="1"/>
  <c r="S35" i="6"/>
  <c r="S82" i="6" s="1"/>
  <c r="BT12" i="6"/>
  <c r="BT59" i="6" s="1"/>
  <c r="AH49" i="6"/>
  <c r="AH96" i="6" s="1"/>
  <c r="AJ37" i="6"/>
  <c r="AJ84" i="6" s="1"/>
  <c r="AG35" i="6"/>
  <c r="AG82" i="6" s="1"/>
  <c r="T9" i="6"/>
  <c r="T56" i="6" s="1"/>
  <c r="BF15" i="6"/>
  <c r="BF62" i="6" s="1"/>
  <c r="Z49" i="6"/>
  <c r="Z96" i="6" s="1"/>
  <c r="AN57" i="6"/>
  <c r="I10" i="6"/>
  <c r="I57" i="6" s="1"/>
  <c r="P28" i="6"/>
  <c r="P75" i="6" s="1"/>
  <c r="BP12" i="6"/>
  <c r="BP59" i="6" s="1"/>
  <c r="AH21" i="6"/>
  <c r="AH68" i="6" s="1"/>
  <c r="Y26" i="6"/>
  <c r="Y73" i="6" s="1"/>
  <c r="Q36" i="6"/>
  <c r="Q83" i="6" s="1"/>
  <c r="AG32" i="6"/>
  <c r="AG79" i="6" s="1"/>
  <c r="AN86" i="6"/>
  <c r="S36" i="6"/>
  <c r="S83" i="6" s="1"/>
  <c r="K21" i="6"/>
  <c r="K68" i="6" s="1"/>
  <c r="R34" i="6"/>
  <c r="R81" i="6" s="1"/>
  <c r="BG36" i="6"/>
  <c r="BG83" i="6" s="1"/>
  <c r="G34" i="6"/>
  <c r="G81" i="6" s="1"/>
  <c r="AD7" i="6"/>
  <c r="AD54" i="6" s="1"/>
  <c r="AF9" i="6"/>
  <c r="AF56" i="6" s="1"/>
  <c r="S16" i="6"/>
  <c r="S63" i="6" s="1"/>
  <c r="AF18" i="6"/>
  <c r="AF65" i="6" s="1"/>
  <c r="Y12" i="6"/>
  <c r="Y59" i="6" s="1"/>
  <c r="AJ35" i="6"/>
  <c r="AJ82" i="6" s="1"/>
  <c r="X11" i="6"/>
  <c r="X58" i="6" s="1"/>
  <c r="Z37" i="6"/>
  <c r="Z84" i="6" s="1"/>
  <c r="BK19" i="6"/>
  <c r="BK66" i="6" s="1"/>
  <c r="K39" i="6"/>
  <c r="K86" i="6" s="1"/>
  <c r="BU26" i="6"/>
  <c r="BU73" i="6" s="1"/>
  <c r="AA49" i="6"/>
  <c r="AA96" i="6" s="1"/>
  <c r="F45" i="6"/>
  <c r="F92" i="6" s="1"/>
  <c r="G27" i="6"/>
  <c r="G74" i="6" s="1"/>
  <c r="BQ41" i="6"/>
  <c r="BQ88" i="6" s="1"/>
  <c r="AB19" i="6"/>
  <c r="AB66" i="6" s="1"/>
  <c r="X31" i="6"/>
  <c r="X78" i="6" s="1"/>
  <c r="M34" i="6"/>
  <c r="M81" i="6" s="1"/>
  <c r="BL33" i="6"/>
  <c r="BL80" i="6" s="1"/>
  <c r="S30" i="6"/>
  <c r="S77" i="6" s="1"/>
  <c r="N8" i="6"/>
  <c r="N55" i="6" s="1"/>
  <c r="M30" i="6"/>
  <c r="M77" i="6" s="1"/>
  <c r="G35" i="6"/>
  <c r="G82" i="6" s="1"/>
  <c r="BU8" i="6"/>
  <c r="BU55" i="6" s="1"/>
  <c r="O29" i="6"/>
  <c r="O76" i="6" s="1"/>
  <c r="AB39" i="6"/>
  <c r="AB86" i="6" s="1"/>
  <c r="L48" i="6"/>
  <c r="L95" i="6" s="1"/>
  <c r="AD48" i="6"/>
  <c r="AD95" i="6" s="1"/>
  <c r="BN17" i="6"/>
  <c r="BN64" i="6" s="1"/>
  <c r="BV25" i="6"/>
  <c r="BV72" i="6" s="1"/>
  <c r="I24" i="6"/>
  <c r="I71" i="6" s="1"/>
  <c r="BG32" i="6"/>
  <c r="BG79" i="6" s="1"/>
  <c r="L33" i="6"/>
  <c r="L80" i="6" s="1"/>
  <c r="R27" i="6"/>
  <c r="R74" i="6" s="1"/>
  <c r="J30" i="6"/>
  <c r="J77" i="6" s="1"/>
  <c r="BF28" i="6"/>
  <c r="BF75" i="6" s="1"/>
  <c r="P38" i="6"/>
  <c r="P85" i="6" s="1"/>
  <c r="BU28" i="6"/>
  <c r="BU75" i="6" s="1"/>
  <c r="X41" i="6"/>
  <c r="X88" i="6" s="1"/>
  <c r="P7" i="6"/>
  <c r="P54" i="6" s="1"/>
  <c r="BV29" i="6"/>
  <c r="BV76" i="6" s="1"/>
  <c r="AA19" i="6"/>
  <c r="AA66" i="6" s="1"/>
  <c r="L15" i="6"/>
  <c r="L62" i="6" s="1"/>
  <c r="O25" i="6"/>
  <c r="O72" i="6" s="1"/>
  <c r="BF22" i="6"/>
  <c r="BF69" i="6" s="1"/>
  <c r="AF22" i="6"/>
  <c r="AF69" i="6" s="1"/>
  <c r="Q15" i="6"/>
  <c r="Q62" i="6" s="1"/>
  <c r="T34" i="6"/>
  <c r="T81" i="6" s="1"/>
  <c r="BE31" i="6"/>
  <c r="BE78" i="6" s="1"/>
  <c r="AH7" i="6"/>
  <c r="AH54" i="6" s="1"/>
  <c r="T12" i="6"/>
  <c r="T59" i="6" s="1"/>
  <c r="G21" i="6"/>
  <c r="G68" i="6" s="1"/>
  <c r="Q7" i="6"/>
  <c r="Q54" i="6" s="1"/>
  <c r="BE23" i="6"/>
  <c r="BE70" i="6" s="1"/>
  <c r="AJ7" i="6"/>
  <c r="AJ54" i="6" s="1"/>
  <c r="AB7" i="6"/>
  <c r="AB54" i="6" s="1"/>
  <c r="BU22" i="6"/>
  <c r="BU69" i="6" s="1"/>
  <c r="I8" i="6"/>
  <c r="I55" i="6" s="1"/>
  <c r="K30" i="6"/>
  <c r="K77" i="6" s="1"/>
  <c r="AD31" i="6"/>
  <c r="AD78" i="6" s="1"/>
  <c r="J41" i="6"/>
  <c r="J88" i="6" s="1"/>
  <c r="L43" i="6"/>
  <c r="L90" i="6" s="1"/>
  <c r="O38" i="6"/>
  <c r="O85" i="6" s="1"/>
  <c r="AQ6" i="6"/>
  <c r="AQ53" i="6" s="1"/>
  <c r="Z38" i="6"/>
  <c r="Z85" i="6" s="1"/>
  <c r="Z47" i="6"/>
  <c r="Z94" i="6" s="1"/>
  <c r="X20" i="6"/>
  <c r="X67" i="6" s="1"/>
  <c r="AL81" i="6"/>
  <c r="BE20" i="6"/>
  <c r="BE67" i="6" s="1"/>
  <c r="H27" i="6"/>
  <c r="H74" i="6" s="1"/>
  <c r="J18" i="6"/>
  <c r="J65" i="6" s="1"/>
  <c r="V19" i="6"/>
  <c r="V66" i="6" s="1"/>
  <c r="Y40" i="6"/>
  <c r="Y87" i="6" s="1"/>
  <c r="S17" i="6"/>
  <c r="S64" i="6" s="1"/>
  <c r="K46" i="6"/>
  <c r="K93" i="6" s="1"/>
  <c r="AO56" i="6"/>
  <c r="AI23" i="6"/>
  <c r="AI70" i="6" s="1"/>
  <c r="R40" i="6"/>
  <c r="R87" i="6" s="1"/>
  <c r="G16" i="6"/>
  <c r="G63" i="6" s="1"/>
  <c r="T32" i="6"/>
  <c r="T79" i="6" s="1"/>
  <c r="O28" i="6"/>
  <c r="O75" i="6" s="1"/>
  <c r="AD49" i="6"/>
  <c r="AD96" i="6" s="1"/>
  <c r="BJ22" i="6"/>
  <c r="BJ69" i="6" s="1"/>
  <c r="F27" i="6"/>
  <c r="F74" i="6" s="1"/>
  <c r="BP26" i="6"/>
  <c r="BP73" i="6" s="1"/>
  <c r="BV36" i="6"/>
  <c r="BV83" i="6" s="1"/>
  <c r="BP24" i="6"/>
  <c r="BP71" i="6" s="1"/>
  <c r="AD14" i="6"/>
  <c r="AD61" i="6" s="1"/>
  <c r="Y22" i="6"/>
  <c r="Y69" i="6" s="1"/>
  <c r="AG47" i="6"/>
  <c r="AG94" i="6" s="1"/>
  <c r="I25" i="6"/>
  <c r="I72" i="6" s="1"/>
  <c r="Q37" i="6"/>
  <c r="Q84" i="6" s="1"/>
  <c r="AJ29" i="6"/>
  <c r="AJ76" i="6" s="1"/>
  <c r="BH34" i="6"/>
  <c r="BH81" i="6" s="1"/>
  <c r="O40" i="6"/>
  <c r="O87" i="6" s="1"/>
  <c r="BS43" i="6"/>
  <c r="BS90" i="6" s="1"/>
  <c r="AD43" i="6"/>
  <c r="AD90" i="6" s="1"/>
  <c r="V30" i="6"/>
  <c r="V77" i="6" s="1"/>
  <c r="BO11" i="6"/>
  <c r="BO58" i="6" s="1"/>
  <c r="BM13" i="6"/>
  <c r="BM60" i="6" s="1"/>
  <c r="T17" i="6"/>
  <c r="T64" i="6" s="1"/>
  <c r="R41" i="6"/>
  <c r="R88" i="6" s="1"/>
  <c r="BT31" i="6"/>
  <c r="BT78" i="6" s="1"/>
  <c r="V49" i="6"/>
  <c r="V96" i="6" s="1"/>
  <c r="L16" i="6"/>
  <c r="L63" i="6" s="1"/>
  <c r="BS26" i="6"/>
  <c r="BS73" i="6" s="1"/>
  <c r="BW19" i="6"/>
  <c r="BW66" i="6" s="1"/>
  <c r="P37" i="6"/>
  <c r="P84" i="6" s="1"/>
  <c r="Q40" i="6"/>
  <c r="Q87" i="6" s="1"/>
  <c r="O15" i="6"/>
  <c r="O62" i="6" s="1"/>
  <c r="BN40" i="6"/>
  <c r="BN87" i="6" s="1"/>
  <c r="I27" i="6"/>
  <c r="I74" i="6" s="1"/>
  <c r="G23" i="6"/>
  <c r="G70" i="6" s="1"/>
  <c r="BJ27" i="6"/>
  <c r="BJ74" i="6" s="1"/>
  <c r="BK12" i="6"/>
  <c r="BK59" i="6" s="1"/>
  <c r="BT36" i="6"/>
  <c r="BT83" i="6" s="1"/>
  <c r="BT26" i="6"/>
  <c r="BT73" i="6" s="1"/>
  <c r="BH10" i="6"/>
  <c r="BH57" i="6" s="1"/>
  <c r="BE26" i="6"/>
  <c r="BE73" i="6" s="1"/>
  <c r="AI8" i="6"/>
  <c r="AI55" i="6" s="1"/>
  <c r="I23" i="6"/>
  <c r="I70" i="6" s="1"/>
  <c r="AJ20" i="6"/>
  <c r="AJ67" i="6" s="1"/>
  <c r="R18" i="6"/>
  <c r="R65" i="6" s="1"/>
  <c r="AD10" i="6"/>
  <c r="AD57" i="6" s="1"/>
  <c r="M47" i="6"/>
  <c r="M94" i="6" s="1"/>
  <c r="V33" i="6"/>
  <c r="V80" i="6" s="1"/>
  <c r="W29" i="6"/>
  <c r="W76" i="6" s="1"/>
  <c r="BN12" i="6"/>
  <c r="BN59" i="6" s="1"/>
  <c r="BM25" i="6"/>
  <c r="BM72" i="6" s="1"/>
  <c r="AG22" i="6"/>
  <c r="AG69" i="6" s="1"/>
  <c r="BL13" i="6"/>
  <c r="BL60" i="6" s="1"/>
  <c r="BR22" i="6"/>
  <c r="BR69" i="6" s="1"/>
  <c r="W22" i="6"/>
  <c r="W69" i="6" s="1"/>
  <c r="Q28" i="6"/>
  <c r="Q75" i="6" s="1"/>
  <c r="BV33" i="6"/>
  <c r="BV80" i="6" s="1"/>
  <c r="M10" i="6"/>
  <c r="M57" i="6" s="1"/>
  <c r="P39" i="6"/>
  <c r="P86" i="6" s="1"/>
  <c r="BV40" i="6"/>
  <c r="BV87" i="6" s="1"/>
  <c r="BN27" i="6"/>
  <c r="BN74" i="6" s="1"/>
  <c r="X48" i="6"/>
  <c r="X95" i="6" s="1"/>
  <c r="R24" i="6"/>
  <c r="R71" i="6" s="1"/>
  <c r="BH41" i="6"/>
  <c r="BH88" i="6" s="1"/>
  <c r="V37" i="6"/>
  <c r="V84" i="6" s="1"/>
  <c r="Q32" i="6"/>
  <c r="Q79" i="6" s="1"/>
  <c r="BE10" i="6"/>
  <c r="BE57" i="6" s="1"/>
  <c r="V28" i="6"/>
  <c r="V75" i="6" s="1"/>
  <c r="BQ7" i="6"/>
  <c r="BQ54" i="6" s="1"/>
  <c r="BS17" i="6"/>
  <c r="BS64" i="6" s="1"/>
  <c r="BQ37" i="6"/>
  <c r="BQ84" i="6" s="1"/>
  <c r="T6" i="6"/>
  <c r="T53" i="6" s="1"/>
  <c r="BO29" i="6"/>
  <c r="BO76" i="6" s="1"/>
  <c r="AA44" i="6"/>
  <c r="AA91" i="6" s="1"/>
  <c r="AG45" i="6"/>
  <c r="AG92" i="6" s="1"/>
  <c r="F49" i="6"/>
  <c r="F96" i="6" s="1"/>
  <c r="BV14" i="6"/>
  <c r="BV61" i="6" s="1"/>
  <c r="BG19" i="6"/>
  <c r="BG66" i="6" s="1"/>
  <c r="W12" i="6"/>
  <c r="W59" i="6" s="1"/>
  <c r="N37" i="6"/>
  <c r="N84" i="6" s="1"/>
  <c r="G11" i="6"/>
  <c r="G58" i="6" s="1"/>
  <c r="BV22" i="6"/>
  <c r="BV69" i="6" s="1"/>
  <c r="L30" i="6"/>
  <c r="L77" i="6" s="1"/>
  <c r="Y41" i="6"/>
  <c r="Y88" i="6" s="1"/>
  <c r="F16" i="6"/>
  <c r="F63" i="6" s="1"/>
  <c r="AB14" i="6"/>
  <c r="AB61" i="6" s="1"/>
  <c r="F46" i="6"/>
  <c r="F93" i="6" s="1"/>
  <c r="P19" i="6"/>
  <c r="P66" i="6" s="1"/>
  <c r="BK16" i="6"/>
  <c r="BK63" i="6" s="1"/>
  <c r="BH28" i="6"/>
  <c r="BH75" i="6" s="1"/>
  <c r="T10" i="6"/>
  <c r="T57" i="6" s="1"/>
  <c r="BE36" i="6"/>
  <c r="BE83" i="6" s="1"/>
  <c r="BS34" i="6"/>
  <c r="BS81" i="6" s="1"/>
  <c r="W24" i="6"/>
  <c r="W71" i="6" s="1"/>
  <c r="AD25" i="6"/>
  <c r="AD72" i="6" s="1"/>
  <c r="BL11" i="6"/>
  <c r="BL58" i="6" s="1"/>
  <c r="G32" i="6"/>
  <c r="G79" i="6" s="1"/>
  <c r="BR32" i="6"/>
  <c r="BR79" i="6" s="1"/>
  <c r="Q43" i="6"/>
  <c r="Q90" i="6" s="1"/>
  <c r="M21" i="6"/>
  <c r="M68" i="6" s="1"/>
  <c r="K31" i="6"/>
  <c r="K78" i="6" s="1"/>
  <c r="N22" i="6"/>
  <c r="N69" i="6" s="1"/>
  <c r="S39" i="6"/>
  <c r="S86" i="6" s="1"/>
  <c r="BE40" i="6"/>
  <c r="BE87" i="6" s="1"/>
  <c r="BF6" i="6"/>
  <c r="BF53" i="6" s="1"/>
  <c r="T38" i="6"/>
  <c r="T85" i="6" s="1"/>
  <c r="F9" i="6"/>
  <c r="F56" i="6" s="1"/>
  <c r="BW31" i="6"/>
  <c r="BW78" i="6" s="1"/>
  <c r="I49" i="6"/>
  <c r="I96" i="6" s="1"/>
  <c r="BM17" i="6"/>
  <c r="BM64" i="6" s="1"/>
  <c r="AH42" i="6"/>
  <c r="AH89" i="6" s="1"/>
  <c r="BP43" i="6"/>
  <c r="BP90" i="6" s="1"/>
  <c r="Y33" i="6"/>
  <c r="Y80" i="6" s="1"/>
  <c r="AG46" i="6"/>
  <c r="AG93" i="6" s="1"/>
  <c r="BG17" i="6"/>
  <c r="BG64" i="6" s="1"/>
  <c r="G49" i="6"/>
  <c r="G96" i="6" s="1"/>
  <c r="BF13" i="6"/>
  <c r="BF60" i="6" s="1"/>
  <c r="T15" i="6"/>
  <c r="T62" i="6" s="1"/>
  <c r="O20" i="6"/>
  <c r="O67" i="6" s="1"/>
  <c r="S11" i="6"/>
  <c r="S58" i="6" s="1"/>
  <c r="AF10" i="6"/>
  <c r="AF57" i="6" s="1"/>
  <c r="F14" i="6"/>
  <c r="F61" i="6" s="1"/>
  <c r="BH37" i="6"/>
  <c r="BH84" i="6" s="1"/>
  <c r="K15" i="6"/>
  <c r="K62" i="6" s="1"/>
  <c r="BO26" i="6"/>
  <c r="BO73" i="6" s="1"/>
  <c r="BK28" i="6"/>
  <c r="BK75" i="6" s="1"/>
  <c r="AF38" i="6"/>
  <c r="AF85" i="6" s="1"/>
  <c r="S43" i="6"/>
  <c r="S90" i="6" s="1"/>
  <c r="BQ26" i="6"/>
  <c r="BQ73" i="6" s="1"/>
  <c r="Z35" i="6"/>
  <c r="Z82" i="6" s="1"/>
  <c r="I41" i="6"/>
  <c r="I88" i="6" s="1"/>
  <c r="T41" i="6"/>
  <c r="T88" i="6" s="1"/>
  <c r="O6" i="6"/>
  <c r="O53" i="6" s="1"/>
  <c r="Q13" i="6"/>
  <c r="Q60" i="6" s="1"/>
  <c r="BG12" i="6"/>
  <c r="BG59" i="6" s="1"/>
  <c r="BH15" i="6"/>
  <c r="BH62" i="6" s="1"/>
  <c r="BN7" i="6"/>
  <c r="BN54" i="6" s="1"/>
  <c r="BU19" i="6"/>
  <c r="BU66" i="6" s="1"/>
  <c r="X9" i="6"/>
  <c r="X56" i="6" s="1"/>
  <c r="BG14" i="6"/>
  <c r="BG61" i="6" s="1"/>
  <c r="X15" i="6"/>
  <c r="X62" i="6" s="1"/>
  <c r="AH41" i="6"/>
  <c r="AH88" i="6" s="1"/>
  <c r="N36" i="6"/>
  <c r="N83" i="6" s="1"/>
  <c r="X17" i="6"/>
  <c r="X64" i="6" s="1"/>
  <c r="BJ6" i="6"/>
  <c r="BJ53" i="6" s="1"/>
  <c r="Z46" i="6"/>
  <c r="Z93" i="6" s="1"/>
  <c r="BS40" i="6"/>
  <c r="BS87" i="6" s="1"/>
  <c r="AF21" i="6"/>
  <c r="AF68" i="6" s="1"/>
  <c r="P48" i="6"/>
  <c r="P95" i="6" s="1"/>
  <c r="Z16" i="6"/>
  <c r="Z63" i="6" s="1"/>
  <c r="W47" i="6"/>
  <c r="W94" i="6" s="1"/>
  <c r="BO13" i="6"/>
  <c r="BO60" i="6" s="1"/>
  <c r="Z13" i="6"/>
  <c r="Z60" i="6" s="1"/>
  <c r="BM32" i="6"/>
  <c r="BM79" i="6" s="1"/>
  <c r="N45" i="6"/>
  <c r="N92" i="6" s="1"/>
  <c r="BF26" i="6"/>
  <c r="BF73" i="6" s="1"/>
  <c r="H12" i="6"/>
  <c r="H59" i="6" s="1"/>
  <c r="BF43" i="6"/>
  <c r="BF90" i="6" s="1"/>
  <c r="L40" i="6"/>
  <c r="L87" i="6" s="1"/>
  <c r="P18" i="6"/>
  <c r="P65" i="6" s="1"/>
  <c r="J25" i="6"/>
  <c r="J72" i="6" s="1"/>
  <c r="BR34" i="6"/>
  <c r="BR81" i="6" s="1"/>
  <c r="BW8" i="6"/>
  <c r="BW55" i="6" s="1"/>
  <c r="BF39" i="6"/>
  <c r="BF86" i="6" s="1"/>
  <c r="H23" i="6"/>
  <c r="H70" i="6" s="1"/>
  <c r="BH24" i="6"/>
  <c r="BH71" i="6" s="1"/>
  <c r="J39" i="6"/>
  <c r="J86" i="6" s="1"/>
  <c r="BN20" i="6"/>
  <c r="BN67" i="6" s="1"/>
  <c r="BE13" i="6"/>
  <c r="BE60" i="6" s="1"/>
  <c r="AG26" i="6"/>
  <c r="AG73" i="6" s="1"/>
  <c r="K43" i="6"/>
  <c r="K90" i="6" s="1"/>
  <c r="G26" i="6"/>
  <c r="G73" i="6" s="1"/>
  <c r="BG25" i="6"/>
  <c r="BG72" i="6" s="1"/>
  <c r="BO33" i="6"/>
  <c r="BO80" i="6" s="1"/>
  <c r="Q22" i="6"/>
  <c r="Q69" i="6" s="1"/>
  <c r="BM43" i="6"/>
  <c r="BM90" i="6" s="1"/>
  <c r="K10" i="6"/>
  <c r="K57" i="6" s="1"/>
  <c r="BW37" i="6"/>
  <c r="BW84" i="6" s="1"/>
  <c r="Y14" i="6"/>
  <c r="Y61" i="6" s="1"/>
  <c r="J10" i="6"/>
  <c r="J57" i="6" s="1"/>
  <c r="H40" i="6"/>
  <c r="H87" i="6" s="1"/>
  <c r="W13" i="6"/>
  <c r="W60" i="6" s="1"/>
  <c r="BF16" i="6"/>
  <c r="BF63" i="6" s="1"/>
  <c r="G24" i="6"/>
  <c r="G71" i="6" s="1"/>
  <c r="N41" i="6"/>
  <c r="N88" i="6" s="1"/>
  <c r="AA34" i="6"/>
  <c r="AA81" i="6" s="1"/>
  <c r="G12" i="6"/>
  <c r="G59" i="6" s="1"/>
  <c r="BW27" i="6"/>
  <c r="BW74" i="6" s="1"/>
  <c r="BN39" i="6"/>
  <c r="BN86" i="6" s="1"/>
  <c r="BW14" i="6"/>
  <c r="BW61" i="6" s="1"/>
  <c r="M19" i="6"/>
  <c r="M66" i="6" s="1"/>
  <c r="K41" i="6"/>
  <c r="K88" i="6" s="1"/>
  <c r="AA10" i="6"/>
  <c r="AA57" i="6" s="1"/>
  <c r="BW20" i="6"/>
  <c r="BW67" i="6" s="1"/>
  <c r="BR7" i="6"/>
  <c r="BR54" i="6" s="1"/>
  <c r="H9" i="6"/>
  <c r="H56" i="6" s="1"/>
  <c r="BH30" i="6"/>
  <c r="BH77" i="6" s="1"/>
  <c r="BE30" i="6"/>
  <c r="BE77" i="6" s="1"/>
  <c r="BE34" i="6"/>
  <c r="BE81" i="6" s="1"/>
  <c r="BF38" i="6"/>
  <c r="BF85" i="6" s="1"/>
  <c r="BM14" i="6"/>
  <c r="BM61" i="6" s="1"/>
  <c r="BT32" i="6"/>
  <c r="BT79" i="6" s="1"/>
  <c r="G14" i="6"/>
  <c r="G61" i="6" s="1"/>
  <c r="P30" i="6"/>
  <c r="P77" i="6" s="1"/>
  <c r="K17" i="6"/>
  <c r="K64" i="6" s="1"/>
  <c r="AI38" i="6"/>
  <c r="AI85" i="6" s="1"/>
  <c r="BP10" i="6"/>
  <c r="BP57" i="6" s="1"/>
  <c r="V23" i="6"/>
  <c r="V70" i="6" s="1"/>
  <c r="BO20" i="6"/>
  <c r="BO67" i="6" s="1"/>
  <c r="K22" i="6"/>
  <c r="K69" i="6" s="1"/>
  <c r="N25" i="6"/>
  <c r="N72" i="6" s="1"/>
  <c r="N32" i="6"/>
  <c r="N79" i="6" s="1"/>
  <c r="J21" i="6"/>
  <c r="J68" i="6" s="1"/>
  <c r="F31" i="6"/>
  <c r="F78" i="6" s="1"/>
  <c r="AD42" i="6"/>
  <c r="AD89" i="6" s="1"/>
  <c r="AE29" i="6"/>
  <c r="AE76" i="6" s="1"/>
  <c r="BE11" i="6"/>
  <c r="BE58" i="6" s="1"/>
  <c r="BJ25" i="6"/>
  <c r="BJ72" i="6" s="1"/>
  <c r="AD32" i="6"/>
  <c r="AD79" i="6" s="1"/>
  <c r="AE40" i="6"/>
  <c r="AE87" i="6" s="1"/>
  <c r="BU35" i="6"/>
  <c r="BU82" i="6" s="1"/>
  <c r="BQ13" i="6"/>
  <c r="BQ60" i="6" s="1"/>
  <c r="BF29" i="6"/>
  <c r="BF76" i="6" s="1"/>
  <c r="AB30" i="6"/>
  <c r="AB77" i="6" s="1"/>
  <c r="Q33" i="6"/>
  <c r="Q80" i="6" s="1"/>
  <c r="BO40" i="6"/>
  <c r="BO87" i="6" s="1"/>
  <c r="AJ14" i="6"/>
  <c r="AJ61" i="6" s="1"/>
  <c r="S10" i="6"/>
  <c r="S57" i="6" s="1"/>
  <c r="BF7" i="6"/>
  <c r="BF54" i="6" s="1"/>
  <c r="BQ33" i="6"/>
  <c r="BQ80" i="6" s="1"/>
  <c r="BO9" i="6"/>
  <c r="BO56" i="6" s="1"/>
  <c r="K8" i="6"/>
  <c r="K55" i="6" s="1"/>
  <c r="BU43" i="6"/>
  <c r="BU90" i="6" s="1"/>
  <c r="BU18" i="6"/>
  <c r="BU65" i="6" s="1"/>
  <c r="H20" i="6"/>
  <c r="H67" i="6" s="1"/>
  <c r="BR29" i="6"/>
  <c r="BR76" i="6" s="1"/>
  <c r="N20" i="6"/>
  <c r="N67" i="6" s="1"/>
  <c r="M45" i="6"/>
  <c r="M92" i="6" s="1"/>
  <c r="BL31" i="6"/>
  <c r="BL78" i="6" s="1"/>
  <c r="BM29" i="6"/>
  <c r="BM76" i="6" s="1"/>
  <c r="BQ10" i="6"/>
  <c r="BQ57" i="6" s="1"/>
  <c r="R29" i="6"/>
  <c r="R76" i="6" s="1"/>
  <c r="BU27" i="6"/>
  <c r="BU74" i="6" s="1"/>
  <c r="J15" i="6"/>
  <c r="J62" i="6" s="1"/>
  <c r="BO32" i="6"/>
  <c r="BO79" i="6" s="1"/>
  <c r="P25" i="6"/>
  <c r="P72" i="6" s="1"/>
  <c r="BJ7" i="6"/>
  <c r="BJ54" i="6" s="1"/>
  <c r="R47" i="6"/>
  <c r="R94" i="6" s="1"/>
  <c r="I13" i="6"/>
  <c r="I60" i="6" s="1"/>
  <c r="BM7" i="6"/>
  <c r="BM54" i="6" s="1"/>
  <c r="L22" i="6"/>
  <c r="L69" i="6" s="1"/>
  <c r="R46" i="6"/>
  <c r="R93" i="6" s="1"/>
  <c r="L18" i="6"/>
  <c r="L65" i="6" s="1"/>
  <c r="S41" i="6"/>
  <c r="S88" i="6" s="1"/>
  <c r="AF28" i="6"/>
  <c r="AF75" i="6" s="1"/>
  <c r="AH12" i="6"/>
  <c r="AH59" i="6" s="1"/>
  <c r="N29" i="6"/>
  <c r="N76" i="6" s="1"/>
  <c r="N42" i="6"/>
  <c r="N89" i="6" s="1"/>
  <c r="BQ21" i="6"/>
  <c r="BQ68" i="6" s="1"/>
  <c r="O39" i="6"/>
  <c r="O86" i="6" s="1"/>
  <c r="V22" i="6"/>
  <c r="V69" i="6" s="1"/>
  <c r="BK31" i="6"/>
  <c r="BK78" i="6" s="1"/>
  <c r="BH36" i="6"/>
  <c r="BH83" i="6" s="1"/>
  <c r="BW24" i="6"/>
  <c r="BW71" i="6" s="1"/>
  <c r="BL28" i="6"/>
  <c r="BL75" i="6" s="1"/>
  <c r="Z43" i="6"/>
  <c r="Z90" i="6" s="1"/>
  <c r="BF19" i="6"/>
  <c r="BF66" i="6" s="1"/>
  <c r="O8" i="6"/>
  <c r="O55" i="6" s="1"/>
  <c r="BW30" i="6"/>
  <c r="BW77" i="6" s="1"/>
  <c r="BN25" i="6"/>
  <c r="BN72" i="6" s="1"/>
  <c r="BQ15" i="6"/>
  <c r="BQ62" i="6" s="1"/>
  <c r="BS13" i="6"/>
  <c r="BS60" i="6" s="1"/>
  <c r="I43" i="6"/>
  <c r="I90" i="6" s="1"/>
  <c r="BS19" i="6"/>
  <c r="BS66" i="6" s="1"/>
  <c r="BJ15" i="6"/>
  <c r="BJ62" i="6" s="1"/>
  <c r="BE8" i="6"/>
  <c r="BE55" i="6" s="1"/>
  <c r="AD8" i="6"/>
  <c r="AD55" i="6" s="1"/>
  <c r="N9" i="6"/>
  <c r="N56" i="6" s="1"/>
  <c r="AA31" i="6"/>
  <c r="AA78" i="6" s="1"/>
  <c r="AB36" i="6"/>
  <c r="AB83" i="6" s="1"/>
  <c r="BQ31" i="6"/>
  <c r="BQ78" i="6" s="1"/>
  <c r="K28" i="6"/>
  <c r="K75" i="6" s="1"/>
  <c r="J38" i="6"/>
  <c r="J85" i="6" s="1"/>
  <c r="P40" i="6"/>
  <c r="P87" i="6" s="1"/>
  <c r="BS9" i="6"/>
  <c r="BS56" i="6" s="1"/>
  <c r="BP30" i="6"/>
  <c r="BP77" i="6" s="1"/>
  <c r="S6" i="6"/>
  <c r="S53" i="6" s="1"/>
  <c r="BU41" i="6"/>
  <c r="BU88" i="6" s="1"/>
  <c r="N19" i="6"/>
  <c r="N66" i="6" s="1"/>
  <c r="O46" i="6"/>
  <c r="O93" i="6" s="1"/>
  <c r="AB47" i="6"/>
  <c r="AB94" i="6" s="1"/>
  <c r="AE36" i="6"/>
  <c r="AE83" i="6" s="1"/>
  <c r="AF26" i="6"/>
  <c r="AF73" i="6" s="1"/>
  <c r="AA45" i="6"/>
  <c r="AA92" i="6" s="1"/>
  <c r="BK11" i="6"/>
  <c r="BK58" i="6" s="1"/>
  <c r="H33" i="6"/>
  <c r="H80" i="6" s="1"/>
  <c r="BL14" i="6"/>
  <c r="BL61" i="6" s="1"/>
  <c r="BJ10" i="6"/>
  <c r="BJ57" i="6" s="1"/>
  <c r="BF32" i="6"/>
  <c r="BF79" i="6" s="1"/>
  <c r="S7" i="6"/>
  <c r="S54" i="6" s="1"/>
  <c r="J23" i="6"/>
  <c r="J70" i="6" s="1"/>
  <c r="M6" i="6"/>
  <c r="M53" i="6" s="1"/>
  <c r="BR16" i="6"/>
  <c r="BR63" i="6" s="1"/>
  <c r="Q39" i="6"/>
  <c r="Q86" i="6" s="1"/>
  <c r="Q31" i="6"/>
  <c r="Q78" i="6" s="1"/>
  <c r="BR42" i="6"/>
  <c r="BR89" i="6" s="1"/>
  <c r="BH7" i="6"/>
  <c r="BH54" i="6" s="1"/>
  <c r="N12" i="6"/>
  <c r="N59" i="6" s="1"/>
  <c r="J40" i="6"/>
  <c r="J87" i="6" s="1"/>
  <c r="BS32" i="6"/>
  <c r="BS79" i="6" s="1"/>
  <c r="Q17" i="6"/>
  <c r="Q64" i="6" s="1"/>
  <c r="BM28" i="6"/>
  <c r="BM75" i="6" s="1"/>
  <c r="BK26" i="6"/>
  <c r="BK73" i="6" s="1"/>
  <c r="BM12" i="6"/>
  <c r="BM59" i="6" s="1"/>
  <c r="BR18" i="6"/>
  <c r="BR65" i="6" s="1"/>
  <c r="BQ38" i="6"/>
  <c r="BQ85" i="6" s="1"/>
  <c r="F42" i="6"/>
  <c r="F89" i="6" s="1"/>
  <c r="AG14" i="6"/>
  <c r="AG61" i="6" s="1"/>
  <c r="BO21" i="6"/>
  <c r="BO68" i="6" s="1"/>
  <c r="BV37" i="6"/>
  <c r="BV84" i="6" s="1"/>
  <c r="BE27" i="6"/>
  <c r="BE74" i="6" s="1"/>
  <c r="P16" i="6"/>
  <c r="P63" i="6" s="1"/>
  <c r="X13" i="6"/>
  <c r="X60" i="6" s="1"/>
  <c r="L24" i="6"/>
  <c r="L71" i="6" s="1"/>
  <c r="BO19" i="6"/>
  <c r="BO66" i="6" s="1"/>
  <c r="M11" i="6"/>
  <c r="M58" i="6" s="1"/>
  <c r="AH20" i="6"/>
  <c r="AH67" i="6" s="1"/>
  <c r="G20" i="6"/>
  <c r="G67" i="6" s="1"/>
  <c r="N33" i="6"/>
  <c r="N80" i="6" s="1"/>
  <c r="T14" i="6"/>
  <c r="T61" i="6" s="1"/>
  <c r="BN13" i="6"/>
  <c r="BN60" i="6" s="1"/>
  <c r="AB27" i="6"/>
  <c r="AB74" i="6" s="1"/>
  <c r="AC31" i="6"/>
  <c r="AC78" i="6" s="1"/>
  <c r="BQ43" i="6"/>
  <c r="BQ90" i="6" s="1"/>
  <c r="AH15" i="6"/>
  <c r="AH62" i="6" s="1"/>
  <c r="AC24" i="6"/>
  <c r="AC71" i="6" s="1"/>
  <c r="BJ28" i="6"/>
  <c r="BJ75" i="6" s="1"/>
  <c r="AC23" i="6"/>
  <c r="AC70" i="6" s="1"/>
  <c r="AF47" i="6"/>
  <c r="AF94" i="6" s="1"/>
  <c r="BT38" i="6"/>
  <c r="BT85" i="6" s="1"/>
  <c r="V41" i="6"/>
  <c r="V88" i="6" s="1"/>
  <c r="AE26" i="6"/>
  <c r="AE73" i="6" s="1"/>
  <c r="S32" i="6"/>
  <c r="S79" i="6" s="1"/>
  <c r="AG19" i="6"/>
  <c r="AG66" i="6" s="1"/>
  <c r="BS12" i="6"/>
  <c r="BS59" i="6" s="1"/>
  <c r="K42" i="6"/>
  <c r="K89" i="6" s="1"/>
  <c r="BL8" i="6"/>
  <c r="BL55" i="6" s="1"/>
  <c r="Z12" i="6"/>
  <c r="Z59" i="6" s="1"/>
  <c r="BR9" i="6"/>
  <c r="BR56" i="6" s="1"/>
  <c r="AJ46" i="6"/>
  <c r="AJ93" i="6" s="1"/>
  <c r="AG31" i="6"/>
  <c r="AG78" i="6" s="1"/>
  <c r="AM81" i="6"/>
  <c r="AG33" i="6"/>
  <c r="AG80" i="6" s="1"/>
  <c r="R7" i="6"/>
  <c r="R54" i="6" s="1"/>
  <c r="BM38" i="6"/>
  <c r="BM85" i="6" s="1"/>
  <c r="BT40" i="6"/>
  <c r="BT87" i="6" s="1"/>
  <c r="BM21" i="6"/>
  <c r="BM68" i="6" s="1"/>
  <c r="AJ33" i="6"/>
  <c r="AJ80" i="6" s="1"/>
  <c r="I21" i="6"/>
  <c r="I68" i="6" s="1"/>
  <c r="BT29" i="6"/>
  <c r="BT76" i="6" s="1"/>
  <c r="BR33" i="6"/>
  <c r="BR80" i="6" s="1"/>
  <c r="T21" i="6"/>
  <c r="T68" i="6" s="1"/>
  <c r="BJ26" i="6"/>
  <c r="BJ73" i="6" s="1"/>
  <c r="AO83" i="6"/>
  <c r="AC38" i="6"/>
  <c r="AC85" i="6" s="1"/>
  <c r="N6" i="6"/>
  <c r="N53" i="6" s="1"/>
  <c r="H34" i="6"/>
  <c r="H81" i="6" s="1"/>
  <c r="P21" i="6"/>
  <c r="P68" i="6" s="1"/>
  <c r="AB43" i="6"/>
  <c r="AB90" i="6" s="1"/>
  <c r="BR11" i="6"/>
  <c r="BR58" i="6" s="1"/>
  <c r="L38" i="6"/>
  <c r="L85" i="6" s="1"/>
  <c r="BG28" i="6"/>
  <c r="BG75" i="6" s="1"/>
  <c r="BF10" i="6"/>
  <c r="BF57" i="6" s="1"/>
  <c r="W14" i="6"/>
  <c r="W61" i="6" s="1"/>
  <c r="AF34" i="6"/>
  <c r="AF81" i="6" s="1"/>
  <c r="H13" i="6"/>
  <c r="H60" i="6" s="1"/>
  <c r="W42" i="6"/>
  <c r="W89" i="6" s="1"/>
  <c r="T42" i="6"/>
  <c r="T89" i="6" s="1"/>
  <c r="AI47" i="6"/>
  <c r="AI94" i="6" s="1"/>
  <c r="AE48" i="6"/>
  <c r="AE95" i="6" s="1"/>
  <c r="AA16" i="6"/>
  <c r="AA63" i="6" s="1"/>
  <c r="F15" i="6"/>
  <c r="F62" i="6" s="1"/>
  <c r="Q29" i="6"/>
  <c r="Q76" i="6" s="1"/>
  <c r="M46" i="6"/>
  <c r="M93" i="6" s="1"/>
  <c r="T43" i="6"/>
  <c r="T90" i="6" s="1"/>
  <c r="F17" i="6"/>
  <c r="F64" i="6" s="1"/>
  <c r="AG10" i="6"/>
  <c r="AG57" i="6" s="1"/>
  <c r="AE37" i="6"/>
  <c r="AE84" i="6" s="1"/>
  <c r="W19" i="6"/>
  <c r="W66" i="6" s="1"/>
  <c r="V32" i="6"/>
  <c r="V79" i="6" s="1"/>
  <c r="AF30" i="6"/>
  <c r="AF77" i="6" s="1"/>
  <c r="K7" i="6"/>
  <c r="K54" i="6" s="1"/>
  <c r="AI45" i="6"/>
  <c r="AI92" i="6" s="1"/>
  <c r="J9" i="6"/>
  <c r="J56" i="6" s="1"/>
  <c r="BM31" i="6"/>
  <c r="BM78" i="6" s="1"/>
  <c r="BP21" i="6"/>
  <c r="BP68" i="6" s="1"/>
  <c r="Q46" i="6"/>
  <c r="Q93" i="6" s="1"/>
  <c r="AN61" i="6"/>
  <c r="AN63" i="6"/>
  <c r="AH32" i="6"/>
  <c r="AH79" i="6" s="1"/>
  <c r="W9" i="6"/>
  <c r="W56" i="6" s="1"/>
  <c r="O49" i="6"/>
  <c r="O96" i="6" s="1"/>
  <c r="BK43" i="6"/>
  <c r="BK90" i="6" s="1"/>
  <c r="O23" i="6"/>
  <c r="O70" i="6" s="1"/>
  <c r="BU24" i="6"/>
  <c r="BU71" i="6" s="1"/>
  <c r="L7" i="6"/>
  <c r="L54" i="6" s="1"/>
  <c r="BE24" i="6"/>
  <c r="BE71" i="6" s="1"/>
  <c r="BE17" i="6"/>
  <c r="BE64" i="6" s="1"/>
  <c r="T40" i="6"/>
  <c r="T87" i="6" s="1"/>
  <c r="F36" i="6"/>
  <c r="F83" i="6" s="1"/>
  <c r="F24" i="6"/>
  <c r="F71" i="6" s="1"/>
  <c r="AH8" i="6"/>
  <c r="AH55" i="6" s="1"/>
  <c r="BR27" i="6"/>
  <c r="BR74" i="6" s="1"/>
  <c r="BF18" i="6"/>
  <c r="BF65" i="6" s="1"/>
  <c r="BK9" i="6"/>
  <c r="BK56" i="6" s="1"/>
  <c r="Y43" i="6"/>
  <c r="Y90" i="6" s="1"/>
  <c r="BR25" i="6"/>
  <c r="BR72" i="6" s="1"/>
  <c r="BH29" i="6"/>
  <c r="BH76" i="6" s="1"/>
  <c r="BU15" i="6"/>
  <c r="BU62" i="6" s="1"/>
  <c r="R25" i="6"/>
  <c r="R72" i="6" s="1"/>
  <c r="L21" i="6"/>
  <c r="L68" i="6" s="1"/>
  <c r="BV15" i="6"/>
  <c r="BV62" i="6" s="1"/>
  <c r="AC36" i="6"/>
  <c r="AC83" i="6" s="1"/>
  <c r="BO41" i="6"/>
  <c r="BO88" i="6" s="1"/>
  <c r="J17" i="6"/>
  <c r="J64" i="6" s="1"/>
  <c r="J34" i="6"/>
  <c r="J81" i="6" s="1"/>
  <c r="I30" i="6"/>
  <c r="I77" i="6" s="1"/>
  <c r="AE22" i="6"/>
  <c r="AE69" i="6" s="1"/>
  <c r="BG9" i="6"/>
  <c r="BG56" i="6" s="1"/>
  <c r="M42" i="6"/>
  <c r="M89" i="6" s="1"/>
  <c r="BU7" i="6"/>
  <c r="BU54" i="6" s="1"/>
  <c r="AE41" i="6"/>
  <c r="AE88" i="6" s="1"/>
  <c r="BN43" i="6"/>
  <c r="BN90" i="6" s="1"/>
  <c r="BU36" i="6"/>
  <c r="BU83" i="6" s="1"/>
  <c r="BN22" i="6"/>
  <c r="BN69" i="6" s="1"/>
  <c r="AA13" i="6"/>
  <c r="AA60" i="6" s="1"/>
  <c r="BQ27" i="6"/>
  <c r="BQ74" i="6" s="1"/>
  <c r="BJ9" i="6"/>
  <c r="BJ56" i="6" s="1"/>
  <c r="AA46" i="6"/>
  <c r="AA93" i="6" s="1"/>
  <c r="H21" i="6"/>
  <c r="H68" i="6" s="1"/>
  <c r="T27" i="6"/>
  <c r="T74" i="6" s="1"/>
  <c r="R10" i="6"/>
  <c r="R57" i="6" s="1"/>
  <c r="AJ42" i="6"/>
  <c r="AJ89" i="6" s="1"/>
  <c r="Q14" i="6"/>
  <c r="Q61" i="6" s="1"/>
  <c r="K14" i="6"/>
  <c r="K61" i="6" s="1"/>
  <c r="AA48" i="6"/>
  <c r="AA95" i="6" s="1"/>
  <c r="BQ17" i="6"/>
  <c r="BQ64" i="6" s="1"/>
  <c r="Q42" i="6"/>
  <c r="Q89" i="6" s="1"/>
  <c r="AE8" i="6"/>
  <c r="AE55" i="6" s="1"/>
  <c r="BT35" i="6"/>
  <c r="BT82" i="6" s="1"/>
  <c r="T26" i="6"/>
  <c r="T73" i="6" s="1"/>
  <c r="AA9" i="6"/>
  <c r="AA56" i="6" s="1"/>
  <c r="BE19" i="6"/>
  <c r="BE66" i="6" s="1"/>
  <c r="BH31" i="6"/>
  <c r="BH78" i="6" s="1"/>
  <c r="BS23" i="6"/>
  <c r="BS70" i="6" s="1"/>
  <c r="BK27" i="6"/>
  <c r="BK74" i="6" s="1"/>
  <c r="AA25" i="6"/>
  <c r="AA72" i="6" s="1"/>
  <c r="BV30" i="6"/>
  <c r="BV77" i="6" s="1"/>
  <c r="AI42" i="6"/>
  <c r="AI89" i="6" s="1"/>
  <c r="Y42" i="6"/>
  <c r="Y89" i="6" s="1"/>
  <c r="BQ29" i="6"/>
  <c r="BQ76" i="6" s="1"/>
  <c r="BE39" i="6"/>
  <c r="BE86" i="6" s="1"/>
  <c r="S37" i="6"/>
  <c r="S84" i="6" s="1"/>
  <c r="BH9" i="6"/>
  <c r="BH56" i="6" s="1"/>
  <c r="T25" i="6"/>
  <c r="T72" i="6" s="1"/>
  <c r="O33" i="6"/>
  <c r="O80" i="6" s="1"/>
  <c r="X49" i="6"/>
  <c r="X96" i="6" s="1"/>
  <c r="AF19" i="6"/>
  <c r="AF66" i="6" s="1"/>
  <c r="BG26" i="6"/>
  <c r="BG73" i="6" s="1"/>
  <c r="BE25" i="6"/>
  <c r="BE72" i="6" s="1"/>
  <c r="BM9" i="6"/>
  <c r="BM56" i="6" s="1"/>
  <c r="BR39" i="6"/>
  <c r="BR86" i="6" s="1"/>
  <c r="Q20" i="6"/>
  <c r="Q67" i="6" s="1"/>
  <c r="BE28" i="6"/>
  <c r="BE75" i="6" s="1"/>
  <c r="AE42" i="6"/>
  <c r="AE89" i="6" s="1"/>
  <c r="N14" i="6"/>
  <c r="N61" i="6" s="1"/>
  <c r="AI33" i="6"/>
  <c r="AI80" i="6" s="1"/>
  <c r="BK10" i="6"/>
  <c r="BK57" i="6" s="1"/>
  <c r="K11" i="6"/>
  <c r="K58" i="6" s="1"/>
  <c r="BJ21" i="6"/>
  <c r="BJ68" i="6" s="1"/>
  <c r="AD19" i="6"/>
  <c r="AD66" i="6" s="1"/>
  <c r="M26" i="6"/>
  <c r="M73" i="6" s="1"/>
  <c r="AI48" i="6"/>
  <c r="AI95" i="6" s="1"/>
  <c r="AF7" i="6"/>
  <c r="AF54" i="6" s="1"/>
  <c r="BM40" i="6"/>
  <c r="BM87" i="6" s="1"/>
  <c r="BN34" i="6"/>
  <c r="BN81" i="6" s="1"/>
  <c r="BW22" i="6"/>
  <c r="BW69" i="6" s="1"/>
  <c r="BQ22" i="6"/>
  <c r="BQ69" i="6" s="1"/>
  <c r="BG10" i="6"/>
  <c r="BG57" i="6" s="1"/>
  <c r="T18" i="6"/>
  <c r="T65" i="6" s="1"/>
  <c r="AL87" i="6"/>
  <c r="O42" i="6"/>
  <c r="O89" i="6" s="1"/>
  <c r="AJ41" i="6"/>
  <c r="AJ88" i="6" s="1"/>
  <c r="R20" i="6"/>
  <c r="R67" i="6" s="1"/>
  <c r="Q21" i="6"/>
  <c r="Q68" i="6" s="1"/>
  <c r="BP23" i="6"/>
  <c r="BP70" i="6" s="1"/>
  <c r="M8" i="6"/>
  <c r="M55" i="6" s="1"/>
  <c r="G7" i="6"/>
  <c r="G54" i="6" s="1"/>
  <c r="BG43" i="6"/>
  <c r="BG90" i="6" s="1"/>
  <c r="BO36" i="6"/>
  <c r="BO83" i="6" s="1"/>
  <c r="I34" i="6"/>
  <c r="I81" i="6" s="1"/>
  <c r="L23" i="6"/>
  <c r="L70" i="6" s="1"/>
  <c r="AH14" i="6"/>
  <c r="AH61" i="6" s="1"/>
  <c r="S49" i="6"/>
  <c r="S96" i="6" s="1"/>
  <c r="P46" i="6"/>
  <c r="P93" i="6" s="1"/>
  <c r="O13" i="6"/>
  <c r="O60" i="6" s="1"/>
  <c r="BE12" i="6"/>
  <c r="BE59" i="6" s="1"/>
  <c r="AI35" i="6"/>
  <c r="AI82" i="6" s="1"/>
  <c r="AF48" i="6"/>
  <c r="AF95" i="6" s="1"/>
  <c r="V47" i="6"/>
  <c r="V94" i="6" s="1"/>
  <c r="AG29" i="6"/>
  <c r="AG76" i="6" s="1"/>
  <c r="BG39" i="6"/>
  <c r="BG86" i="6" s="1"/>
  <c r="AF39" i="6"/>
  <c r="AF86" i="6" s="1"/>
  <c r="I28" i="6"/>
  <c r="I75" i="6" s="1"/>
  <c r="BQ40" i="6"/>
  <c r="BQ87" i="6" s="1"/>
  <c r="K27" i="6"/>
  <c r="K74" i="6" s="1"/>
  <c r="T33" i="6"/>
  <c r="T80" i="6" s="1"/>
  <c r="AI37" i="6"/>
  <c r="AI84" i="6" s="1"/>
  <c r="Y20" i="6"/>
  <c r="Y67" i="6" s="1"/>
  <c r="AJ26" i="6"/>
  <c r="AJ73" i="6" s="1"/>
  <c r="BH33" i="6"/>
  <c r="BH80" i="6" s="1"/>
  <c r="R22" i="6"/>
  <c r="R69" i="6" s="1"/>
  <c r="M13" i="6"/>
  <c r="M60" i="6" s="1"/>
  <c r="BE38" i="6"/>
  <c r="BE85" i="6" s="1"/>
  <c r="J35" i="6"/>
  <c r="J82" i="6" s="1"/>
  <c r="O41" i="6"/>
  <c r="O88" i="6" s="1"/>
  <c r="BJ43" i="6"/>
  <c r="BJ90" i="6" s="1"/>
  <c r="N16" i="6"/>
  <c r="N63" i="6" s="1"/>
  <c r="BQ8" i="6"/>
  <c r="BQ55" i="6" s="1"/>
  <c r="BO6" i="6"/>
  <c r="BO53" i="6" s="1"/>
  <c r="BW26" i="6"/>
  <c r="BW73" i="6" s="1"/>
  <c r="BJ37" i="6"/>
  <c r="BJ84" i="6" s="1"/>
  <c r="I17" i="6"/>
  <c r="I64" i="6" s="1"/>
  <c r="BS41" i="6"/>
  <c r="BS88" i="6" s="1"/>
  <c r="BH20" i="6"/>
  <c r="BH67" i="6" s="1"/>
  <c r="BF34" i="6"/>
  <c r="BF81" i="6" s="1"/>
  <c r="BE41" i="6"/>
  <c r="BE88" i="6" s="1"/>
  <c r="BQ42" i="6"/>
  <c r="BQ89" i="6" s="1"/>
  <c r="S33" i="6"/>
  <c r="S80" i="6" s="1"/>
  <c r="BU40" i="6"/>
  <c r="BU87" i="6" s="1"/>
  <c r="S47" i="6"/>
  <c r="S94" i="6" s="1"/>
  <c r="BM19" i="6"/>
  <c r="BM66" i="6" s="1"/>
  <c r="K40" i="6"/>
  <c r="K87" i="6" s="1"/>
  <c r="I22" i="6"/>
  <c r="I69" i="6" s="1"/>
  <c r="BN31" i="6"/>
  <c r="BN78" i="6" s="1"/>
  <c r="P10" i="6"/>
  <c r="P57" i="6" s="1"/>
  <c r="BF20" i="6"/>
  <c r="BF67" i="6" s="1"/>
  <c r="W41" i="6"/>
  <c r="W88" i="6" s="1"/>
  <c r="G19" i="6"/>
  <c r="G66" i="6" s="1"/>
  <c r="BO25" i="6"/>
  <c r="BO72" i="6" s="1"/>
  <c r="M7" i="6"/>
  <c r="M54" i="6" s="1"/>
  <c r="I36" i="6"/>
  <c r="I83" i="6" s="1"/>
  <c r="BN16" i="6"/>
  <c r="BN63" i="6" s="1"/>
  <c r="Q30" i="6"/>
  <c r="Q77" i="6" s="1"/>
  <c r="AC39" i="6"/>
  <c r="AC86" i="6" s="1"/>
  <c r="O9" i="6"/>
  <c r="O56" i="6" s="1"/>
  <c r="BP29" i="6"/>
  <c r="BP76" i="6" s="1"/>
  <c r="BS39" i="6"/>
  <c r="BS86" i="6" s="1"/>
  <c r="BL32" i="6"/>
  <c r="BL79" i="6" s="1"/>
  <c r="BO35" i="6"/>
  <c r="BO82" i="6" s="1"/>
  <c r="N34" i="6"/>
  <c r="N81" i="6" s="1"/>
  <c r="H31" i="6"/>
  <c r="H78" i="6" s="1"/>
  <c r="BQ28" i="6"/>
  <c r="BQ75" i="6" s="1"/>
  <c r="BW12" i="6"/>
  <c r="BW59" i="6" s="1"/>
  <c r="Z41" i="6"/>
  <c r="Z88" i="6" s="1"/>
  <c r="BL7" i="6"/>
  <c r="BL54" i="6" s="1"/>
  <c r="F21" i="6"/>
  <c r="F68" i="6" s="1"/>
  <c r="BG31" i="6"/>
  <c r="BG78" i="6" s="1"/>
  <c r="BM35" i="6"/>
  <c r="BM82" i="6" s="1"/>
  <c r="BR30" i="6"/>
  <c r="BR77" i="6" s="1"/>
  <c r="T48" i="6"/>
  <c r="T95" i="6" s="1"/>
  <c r="S26" i="6"/>
  <c r="S73" i="6" s="1"/>
  <c r="BU31" i="6"/>
  <c r="BU78" i="6" s="1"/>
  <c r="BO16" i="6"/>
  <c r="BO63" i="6" s="1"/>
  <c r="BR40" i="6"/>
  <c r="BR87" i="6" s="1"/>
  <c r="BT28" i="6"/>
  <c r="BT75" i="6" s="1"/>
  <c r="BO7" i="6"/>
  <c r="BO54" i="6" s="1"/>
  <c r="BS42" i="6"/>
  <c r="BS89" i="6" s="1"/>
  <c r="BV39" i="6"/>
  <c r="BV86" i="6" s="1"/>
  <c r="T7" i="6"/>
  <c r="T54" i="6" s="1"/>
  <c r="BW34" i="6"/>
  <c r="BW81" i="6" s="1"/>
  <c r="F12" i="6"/>
  <c r="F59" i="6" s="1"/>
  <c r="BN10" i="6"/>
  <c r="BN57" i="6" s="1"/>
  <c r="F29" i="6"/>
  <c r="F76" i="6" s="1"/>
  <c r="AI36" i="6"/>
  <c r="AI83" i="6" s="1"/>
  <c r="BQ12" i="6"/>
  <c r="BQ59" i="6" s="1"/>
  <c r="BT11" i="6"/>
  <c r="BT58" i="6" s="1"/>
  <c r="BR24" i="6"/>
  <c r="BR71" i="6" s="1"/>
  <c r="BJ42" i="6"/>
  <c r="BJ89" i="6" s="1"/>
  <c r="BO8" i="6"/>
  <c r="BO55" i="6" s="1"/>
  <c r="BQ25" i="6"/>
  <c r="BQ72" i="6" s="1"/>
  <c r="N47" i="6"/>
  <c r="N94" i="6" s="1"/>
  <c r="BW36" i="6"/>
  <c r="BW83" i="6" s="1"/>
  <c r="BM23" i="6"/>
  <c r="BM70" i="6" s="1"/>
  <c r="Q47" i="6"/>
  <c r="Q94" i="6" s="1"/>
  <c r="BT20" i="6"/>
  <c r="BT67" i="6" s="1"/>
  <c r="BU37" i="6"/>
  <c r="BU84" i="6" s="1"/>
  <c r="BP22" i="6"/>
  <c r="BP69" i="6" s="1"/>
  <c r="R45" i="6"/>
  <c r="R92" i="6" s="1"/>
  <c r="Y23" i="6"/>
  <c r="Y70" i="6" s="1"/>
  <c r="G10" i="6"/>
  <c r="G57" i="6" s="1"/>
  <c r="K29" i="6"/>
  <c r="K76" i="6" s="1"/>
  <c r="BM15" i="6"/>
  <c r="BM62" i="6" s="1"/>
  <c r="BM36" i="6"/>
  <c r="BM83" i="6" s="1"/>
  <c r="BF41" i="6"/>
  <c r="BF88" i="6" s="1"/>
  <c r="G9" i="6"/>
  <c r="G56" i="6" s="1"/>
  <c r="BR19" i="6"/>
  <c r="BR66" i="6" s="1"/>
  <c r="BN19" i="6"/>
  <c r="BN66" i="6" s="1"/>
  <c r="BM30" i="6"/>
  <c r="BM77" i="6" s="1"/>
  <c r="BF40" i="6"/>
  <c r="BF87" i="6" s="1"/>
  <c r="BV42" i="6"/>
  <c r="BV89" i="6" s="1"/>
  <c r="F32" i="6"/>
  <c r="F79" i="6" s="1"/>
  <c r="N30" i="6"/>
  <c r="N77" i="6" s="1"/>
  <c r="BV13" i="6"/>
  <c r="BV60" i="6" s="1"/>
  <c r="S22" i="6"/>
  <c r="S69" i="6" s="1"/>
  <c r="R48" i="6"/>
  <c r="R95" i="6" s="1"/>
  <c r="J28" i="6"/>
  <c r="J75" i="6" s="1"/>
  <c r="BF8" i="6"/>
  <c r="BF55" i="6" s="1"/>
  <c r="BN14" i="6"/>
  <c r="BN61" i="6" s="1"/>
  <c r="BU32" i="6"/>
  <c r="BU79" i="6" s="1"/>
  <c r="M41" i="6"/>
  <c r="M88" i="6" s="1"/>
  <c r="BW10" i="6"/>
  <c r="BW57" i="6" s="1"/>
  <c r="I48" i="6"/>
  <c r="I95" i="6" s="1"/>
  <c r="BE9" i="6"/>
  <c r="BE56" i="6" s="1"/>
  <c r="BK20" i="6"/>
  <c r="BK67" i="6" s="1"/>
  <c r="BP11" i="6"/>
  <c r="BP58" i="6" s="1"/>
  <c r="O36" i="6"/>
  <c r="O83" i="6" s="1"/>
  <c r="J7" i="6"/>
  <c r="J54" i="6" s="1"/>
  <c r="BK37" i="6"/>
  <c r="BK84" i="6" s="1"/>
  <c r="BN38" i="6"/>
  <c r="BN85" i="6" s="1"/>
  <c r="BO23" i="6"/>
  <c r="BO70" i="6" s="1"/>
  <c r="BG13" i="6"/>
  <c r="BG60" i="6" s="1"/>
  <c r="J16" i="6"/>
  <c r="J63" i="6" s="1"/>
  <c r="BS22" i="6"/>
  <c r="BS69" i="6" s="1"/>
  <c r="F26" i="6"/>
  <c r="F73" i="6" s="1"/>
  <c r="BL15" i="6"/>
  <c r="BL62" i="6" s="1"/>
  <c r="BV6" i="6"/>
  <c r="BV53" i="6" s="1"/>
  <c r="BK15" i="6"/>
  <c r="BK62" i="6" s="1"/>
  <c r="BO15" i="6"/>
  <c r="BO62" i="6" s="1"/>
  <c r="N49" i="6"/>
  <c r="N96" i="6" s="1"/>
  <c r="Y25" i="6"/>
  <c r="Y72" i="6" s="1"/>
  <c r="BV19" i="6"/>
  <c r="BV66" i="6" s="1"/>
  <c r="BV26" i="6"/>
  <c r="BV73" i="6" s="1"/>
  <c r="BJ40" i="6"/>
  <c r="BJ87" i="6" s="1"/>
  <c r="BW32" i="6"/>
  <c r="BW79" i="6" s="1"/>
  <c r="H45" i="6"/>
  <c r="BG38" i="6"/>
  <c r="BG85" i="6" s="1"/>
  <c r="AI43" i="6"/>
  <c r="AI90" i="6" s="1"/>
  <c r="BF14" i="6"/>
  <c r="BF61" i="6" s="1"/>
  <c r="M17" i="6"/>
  <c r="M64" i="6" s="1"/>
  <c r="AC20" i="6"/>
  <c r="AC67" i="6" s="1"/>
  <c r="T20" i="6"/>
  <c r="T67" i="6" s="1"/>
  <c r="BP41" i="6"/>
  <c r="BP88" i="6" s="1"/>
  <c r="J24" i="6"/>
  <c r="J71" i="6" s="1"/>
  <c r="BN8" i="6"/>
  <c r="BN55" i="6" s="1"/>
  <c r="T49" i="6"/>
  <c r="T96" i="6" s="1"/>
  <c r="J8" i="6"/>
  <c r="J55" i="6" s="1"/>
  <c r="M49" i="6"/>
  <c r="M96" i="6" s="1"/>
  <c r="BN29" i="6"/>
  <c r="BN76" i="6" s="1"/>
  <c r="BT33" i="6"/>
  <c r="BT80" i="6" s="1"/>
  <c r="BT30" i="6"/>
  <c r="BT77" i="6" s="1"/>
  <c r="BJ41" i="6"/>
  <c r="BJ88" i="6" s="1"/>
  <c r="I39" i="6"/>
  <c r="I86" i="6" s="1"/>
  <c r="BT25" i="6"/>
  <c r="BT72" i="6" s="1"/>
  <c r="AH45" i="6"/>
  <c r="AH92" i="6" s="1"/>
  <c r="J47" i="6"/>
  <c r="J94" i="6" s="1"/>
  <c r="AC13" i="6"/>
  <c r="AC60" i="6" s="1"/>
  <c r="R28" i="6"/>
  <c r="R75" i="6" s="1"/>
  <c r="BS30" i="6"/>
  <c r="BS77" i="6" s="1"/>
  <c r="BP32" i="6"/>
  <c r="BP79" i="6" s="1"/>
  <c r="BR12" i="6"/>
  <c r="BR59" i="6" s="1"/>
  <c r="BF33" i="6"/>
  <c r="BF80" i="6" s="1"/>
  <c r="BF42" i="6"/>
  <c r="BF89" i="6" s="1"/>
  <c r="BU12" i="6"/>
  <c r="BU59" i="6" s="1"/>
  <c r="BR43" i="6"/>
  <c r="BR90" i="6" s="1"/>
  <c r="T45" i="6"/>
  <c r="T92" i="6" s="1"/>
  <c r="I32" i="6"/>
  <c r="I79" i="6" s="1"/>
  <c r="BT27" i="6"/>
  <c r="BT74" i="6" s="1"/>
  <c r="AG9" i="6"/>
  <c r="AG56" i="6" s="1"/>
  <c r="Q27" i="6"/>
  <c r="Q74" i="6" s="1"/>
  <c r="BG16" i="6"/>
  <c r="BG63" i="6" s="1"/>
  <c r="BS6" i="6"/>
  <c r="BS53" i="6" s="1"/>
  <c r="BL19" i="6"/>
  <c r="BL66" i="6" s="1"/>
  <c r="BQ39" i="6"/>
  <c r="BQ86" i="6" s="1"/>
  <c r="BE37" i="6"/>
  <c r="BE84" i="6" s="1"/>
  <c r="BK8" i="6"/>
  <c r="BK55" i="6" s="1"/>
  <c r="BK42" i="6"/>
  <c r="BK89" i="6" s="1"/>
  <c r="J26" i="6"/>
  <c r="J73" i="6" s="1"/>
  <c r="G45" i="6"/>
  <c r="G92" i="6" s="1"/>
  <c r="M16" i="6"/>
  <c r="M63" i="6" s="1"/>
  <c r="I46" i="6"/>
  <c r="I93" i="6" s="1"/>
  <c r="G36" i="6"/>
  <c r="G83" i="6" s="1"/>
  <c r="M36" i="6"/>
  <c r="M83" i="6" s="1"/>
  <c r="BH25" i="6"/>
  <c r="BH72" i="6" s="1"/>
  <c r="BK23" i="6"/>
  <c r="BK70" i="6" s="1"/>
  <c r="BJ24" i="6"/>
  <c r="BJ71" i="6" s="1"/>
  <c r="BJ31" i="6"/>
  <c r="BJ78" i="6" s="1"/>
  <c r="BF12" i="6"/>
  <c r="BF59" i="6" s="1"/>
  <c r="BT18" i="6"/>
  <c r="BT65" i="6" s="1"/>
  <c r="BV12" i="6"/>
  <c r="BV59" i="6" s="1"/>
  <c r="Q23" i="6"/>
  <c r="Q70" i="6" s="1"/>
  <c r="X19" i="6"/>
  <c r="X66" i="6" s="1"/>
  <c r="AC46" i="6"/>
  <c r="AC93" i="6" s="1"/>
  <c r="I19" i="6"/>
  <c r="I66" i="6" s="1"/>
  <c r="G42" i="6"/>
  <c r="G89" i="6" s="1"/>
  <c r="G31" i="6"/>
  <c r="G78" i="6" s="1"/>
  <c r="G15" i="6"/>
  <c r="G62" i="6" s="1"/>
  <c r="BQ20" i="6"/>
  <c r="BQ67" i="6" s="1"/>
  <c r="K45" i="6"/>
  <c r="K92" i="6" s="1"/>
  <c r="BS37" i="6"/>
  <c r="BS84" i="6" s="1"/>
  <c r="BS35" i="6"/>
  <c r="BS82" i="6" s="1"/>
  <c r="W39" i="6"/>
  <c r="W86" i="6" s="1"/>
  <c r="BU42" i="6"/>
  <c r="BU89" i="6" s="1"/>
  <c r="BH38" i="6"/>
  <c r="BH85" i="6" s="1"/>
  <c r="AG41" i="6"/>
  <c r="AG88" i="6" s="1"/>
  <c r="BF30" i="6"/>
  <c r="BF77" i="6" s="1"/>
  <c r="BE16" i="6"/>
  <c r="BE63" i="6" s="1"/>
  <c r="V46" i="6"/>
  <c r="V93" i="6" s="1"/>
  <c r="BV34" i="6"/>
  <c r="BV81" i="6" s="1"/>
  <c r="K16" i="6"/>
  <c r="K63" i="6" s="1"/>
  <c r="W45" i="6"/>
  <c r="W92" i="6" s="1"/>
  <c r="BL27" i="6"/>
  <c r="BL74" i="6" s="1"/>
  <c r="M14" i="6"/>
  <c r="M61" i="6" s="1"/>
  <c r="BN26" i="6"/>
  <c r="BN73" i="6" s="1"/>
  <c r="BE14" i="6"/>
  <c r="BE61" i="6" s="1"/>
  <c r="BU13" i="6"/>
  <c r="BU60" i="6" s="1"/>
  <c r="BG11" i="6"/>
  <c r="BG58" i="6" s="1"/>
  <c r="Y7" i="6"/>
  <c r="Y54" i="6" s="1"/>
  <c r="I47" i="6"/>
  <c r="I94" i="6" s="1"/>
  <c r="BO17" i="6"/>
  <c r="BO64" i="6" s="1"/>
  <c r="F33" i="6"/>
  <c r="F80" i="6" s="1"/>
  <c r="BU14" i="6"/>
  <c r="BU61" i="6" s="1"/>
  <c r="Q10" i="6"/>
  <c r="Q57" i="6" s="1"/>
  <c r="H38" i="6"/>
  <c r="H85" i="6" s="1"/>
  <c r="P31" i="6"/>
  <c r="P78" i="6" s="1"/>
  <c r="P6" i="6"/>
  <c r="P53" i="6" s="1"/>
  <c r="BE43" i="6"/>
  <c r="BE90" i="6" s="1"/>
  <c r="L12" i="6"/>
  <c r="L59" i="6" s="1"/>
  <c r="AF29" i="6"/>
  <c r="AF76" i="6" s="1"/>
  <c r="BK25" i="6"/>
  <c r="BK72" i="6" s="1"/>
  <c r="BN37" i="6"/>
  <c r="BN84" i="6" s="1"/>
  <c r="BR38" i="6"/>
  <c r="BR85" i="6" s="1"/>
  <c r="T39" i="6"/>
  <c r="T86" i="6" s="1"/>
  <c r="V13" i="6"/>
  <c r="V60" i="6" s="1"/>
  <c r="BK6" i="6"/>
  <c r="BK53" i="6" s="1"/>
  <c r="BU38" i="6"/>
  <c r="BU85" i="6" s="1"/>
  <c r="P41" i="6"/>
  <c r="P88" i="6" s="1"/>
  <c r="I15" i="6"/>
  <c r="I62" i="6" s="1"/>
  <c r="BH13" i="6"/>
  <c r="BH60" i="6" s="1"/>
  <c r="BT6" i="6"/>
  <c r="BT53" i="6" s="1"/>
  <c r="BF35" i="6"/>
  <c r="BF82" i="6" s="1"/>
  <c r="BK36" i="6"/>
  <c r="BK83" i="6" s="1"/>
  <c r="BP36" i="6"/>
  <c r="BP83" i="6" s="1"/>
  <c r="BH35" i="6"/>
  <c r="BH82" i="6" s="1"/>
  <c r="BM22" i="6"/>
  <c r="BM69" i="6" s="1"/>
  <c r="AD17" i="6"/>
  <c r="AD64" i="6" s="1"/>
  <c r="BR23" i="6"/>
  <c r="BR70" i="6" s="1"/>
  <c r="BV7" i="6"/>
  <c r="BV54" i="6" s="1"/>
  <c r="AJ47" i="6"/>
  <c r="AJ94" i="6" s="1"/>
  <c r="F35" i="6"/>
  <c r="F82" i="6" s="1"/>
  <c r="L19" i="6"/>
  <c r="L66" i="6" s="1"/>
  <c r="BL30" i="6"/>
  <c r="BL77" i="6" s="1"/>
  <c r="L9" i="6"/>
  <c r="L56" i="6" s="1"/>
  <c r="BV20" i="6"/>
  <c r="BV67" i="6" s="1"/>
  <c r="T16" i="6"/>
  <c r="T63" i="6" s="1"/>
  <c r="R23" i="6"/>
  <c r="R70" i="6" s="1"/>
  <c r="BU6" i="6"/>
  <c r="BU53" i="6" s="1"/>
  <c r="BH12" i="6"/>
  <c r="BH59" i="6" s="1"/>
  <c r="BS27" i="6"/>
  <c r="BS74" i="6" s="1"/>
  <c r="I12" i="6"/>
  <c r="I59" i="6" s="1"/>
  <c r="T36" i="6"/>
  <c r="T83" i="6" s="1"/>
  <c r="BM42" i="6"/>
  <c r="BM89" i="6" s="1"/>
  <c r="BV31" i="6"/>
  <c r="BV78" i="6" s="1"/>
  <c r="BM41" i="6"/>
  <c r="BM88" i="6" s="1"/>
  <c r="BV23" i="6"/>
  <c r="BV70" i="6" s="1"/>
  <c r="Z24" i="6"/>
  <c r="Z71" i="6" s="1"/>
  <c r="AD37" i="6"/>
  <c r="AD84" i="6" s="1"/>
  <c r="H30" i="6"/>
  <c r="H77" i="6" s="1"/>
  <c r="BH23" i="6"/>
  <c r="BH70" i="6" s="1"/>
  <c r="K24" i="6"/>
  <c r="K71" i="6" s="1"/>
  <c r="AD34" i="6"/>
  <c r="AD81" i="6" s="1"/>
  <c r="S45" i="6"/>
  <c r="S92" i="6" s="1"/>
  <c r="BG42" i="6"/>
  <c r="BG89" i="6" s="1"/>
  <c r="K33" i="6"/>
  <c r="K80" i="6" s="1"/>
  <c r="F43" i="6"/>
  <c r="F90" i="6" s="1"/>
  <c r="BN30" i="6"/>
  <c r="BN77" i="6" s="1"/>
  <c r="L11" i="6"/>
  <c r="L58" i="6" s="1"/>
  <c r="BH6" i="6"/>
  <c r="BH53" i="6" s="1"/>
  <c r="K18" i="6"/>
  <c r="K65" i="6" s="1"/>
  <c r="BO31" i="6"/>
  <c r="BO78" i="6" s="1"/>
  <c r="O12" i="6"/>
  <c r="O59" i="6" s="1"/>
  <c r="BO28" i="6"/>
  <c r="BO75" i="6" s="1"/>
  <c r="AI39" i="6"/>
  <c r="AI86" i="6" s="1"/>
  <c r="P42" i="6"/>
  <c r="P89" i="6" s="1"/>
  <c r="BM34" i="6"/>
  <c r="BM81" i="6" s="1"/>
  <c r="M35" i="6"/>
  <c r="M82" i="6" s="1"/>
  <c r="BV21" i="6"/>
  <c r="BV68" i="6" s="1"/>
  <c r="AI29" i="6"/>
  <c r="AI76" i="6" s="1"/>
  <c r="BH39" i="6"/>
  <c r="BH86" i="6" s="1"/>
  <c r="BO37" i="6"/>
  <c r="BO84" i="6" s="1"/>
  <c r="F20" i="6"/>
  <c r="F67" i="6" s="1"/>
  <c r="N48" i="6"/>
  <c r="N95" i="6" s="1"/>
  <c r="AB35" i="6"/>
  <c r="AB82" i="6" s="1"/>
  <c r="R31" i="6"/>
  <c r="R78" i="6" s="1"/>
  <c r="BU34" i="6"/>
  <c r="BU81" i="6" s="1"/>
  <c r="N28" i="6"/>
  <c r="N75" i="6" s="1"/>
  <c r="BT24" i="6"/>
  <c r="BT71" i="6" s="1"/>
  <c r="AB32" i="6"/>
  <c r="AB79" i="6" s="1"/>
  <c r="BL9" i="6"/>
  <c r="BL56" i="6" s="1"/>
  <c r="BO34" i="6"/>
  <c r="BO81" i="6" s="1"/>
  <c r="O45" i="6"/>
  <c r="O92" i="6" s="1"/>
  <c r="BJ19" i="6"/>
  <c r="BJ66" i="6" s="1"/>
  <c r="BE35" i="6"/>
  <c r="BE82" i="6" s="1"/>
  <c r="BR8" i="6"/>
  <c r="BR55" i="6" s="1"/>
  <c r="BR36" i="6"/>
  <c r="BR83" i="6" s="1"/>
  <c r="L34" i="6"/>
  <c r="L81" i="6" s="1"/>
  <c r="BG33" i="6"/>
  <c r="BG80" i="6" s="1"/>
  <c r="P23" i="6"/>
  <c r="P70" i="6" s="1"/>
  <c r="K19" i="6"/>
  <c r="K66" i="6" s="1"/>
  <c r="BP34" i="6"/>
  <c r="BP81" i="6" s="1"/>
  <c r="S34" i="6"/>
  <c r="S81" i="6" s="1"/>
  <c r="O16" i="6"/>
  <c r="O63" i="6" s="1"/>
  <c r="H8" i="6"/>
  <c r="H55" i="6" s="1"/>
  <c r="BU25" i="6"/>
  <c r="BU72" i="6" s="1"/>
  <c r="BK29" i="6"/>
  <c r="BK76" i="6" s="1"/>
  <c r="BL29" i="6"/>
  <c r="BL76" i="6" s="1"/>
  <c r="AC32" i="6"/>
  <c r="AC79" i="6" s="1"/>
  <c r="BG7" i="6"/>
  <c r="BG54" i="6" s="1"/>
  <c r="BH21" i="6"/>
  <c r="BH68" i="6" s="1"/>
  <c r="BV24" i="6"/>
  <c r="BV71" i="6" s="1"/>
  <c r="AL79" i="6"/>
  <c r="BE18" i="6"/>
  <c r="BE65" i="6" s="1"/>
  <c r="BN15" i="6"/>
  <c r="BN62" i="6" s="1"/>
  <c r="S21" i="6"/>
  <c r="S68" i="6" s="1"/>
  <c r="L13" i="6"/>
  <c r="L60" i="6" s="1"/>
  <c r="N17" i="6"/>
  <c r="N64" i="6" s="1"/>
  <c r="BJ12" i="6"/>
  <c r="BJ59" i="6" s="1"/>
  <c r="BF27" i="6"/>
  <c r="BF74" i="6" s="1"/>
  <c r="G37" i="6"/>
  <c r="G84" i="6" s="1"/>
  <c r="I9" i="6"/>
  <c r="I56" i="6" s="1"/>
  <c r="AC48" i="6"/>
  <c r="AC95" i="6" s="1"/>
  <c r="BS11" i="6"/>
  <c r="BS58" i="6" s="1"/>
  <c r="J12" i="6"/>
  <c r="J59" i="6" s="1"/>
  <c r="BG15" i="6"/>
  <c r="BG62" i="6" s="1"/>
  <c r="I20" i="6"/>
  <c r="I67" i="6" s="1"/>
  <c r="BK24" i="6"/>
  <c r="BK71" i="6" s="1"/>
  <c r="BS18" i="6"/>
  <c r="BS65" i="6" s="1"/>
  <c r="BW17" i="6"/>
  <c r="BW64" i="6" s="1"/>
  <c r="AI13" i="6"/>
  <c r="AI60" i="6" s="1"/>
  <c r="K36" i="6"/>
  <c r="K83" i="6" s="1"/>
  <c r="AJ23" i="6"/>
  <c r="AJ70" i="6" s="1"/>
  <c r="AG49" i="6"/>
  <c r="AG96" i="6" s="1"/>
  <c r="O19" i="6"/>
  <c r="O66" i="6" s="1"/>
  <c r="BP31" i="6"/>
  <c r="BP78" i="6" s="1"/>
  <c r="AE14" i="6"/>
  <c r="AE61" i="6" s="1"/>
  <c r="BG35" i="6"/>
  <c r="BG82" i="6" s="1"/>
  <c r="BQ14" i="6"/>
  <c r="BQ61" i="6" s="1"/>
  <c r="G25" i="6"/>
  <c r="G72" i="6" s="1"/>
  <c r="BJ11" i="6"/>
  <c r="BJ58" i="6" s="1"/>
  <c r="BH14" i="6"/>
  <c r="BH61" i="6" s="1"/>
  <c r="BV9" i="6"/>
  <c r="BV56" i="6" s="1"/>
  <c r="AA6" i="6"/>
  <c r="X32" i="6"/>
  <c r="X79" i="6" s="1"/>
  <c r="BR6" i="6"/>
  <c r="BR53" i="6" s="1"/>
  <c r="AF49" i="6"/>
  <c r="AF96" i="6" s="1"/>
  <c r="BN24" i="6"/>
  <c r="BN71" i="6" s="1"/>
  <c r="G48" i="6"/>
  <c r="G95" i="6" s="1"/>
  <c r="BN11" i="6"/>
  <c r="BN58" i="6" s="1"/>
  <c r="BF9" i="6"/>
  <c r="BF56" i="6" s="1"/>
  <c r="L25" i="6"/>
  <c r="L72" i="6" s="1"/>
  <c r="BO38" i="6"/>
  <c r="BO85" i="6" s="1"/>
  <c r="N39" i="6"/>
  <c r="N86" i="6" s="1"/>
  <c r="BG20" i="6"/>
  <c r="BG67" i="6" s="1"/>
  <c r="BL34" i="6"/>
  <c r="BL81" i="6" s="1"/>
  <c r="P15" i="6"/>
  <c r="P62" i="6" s="1"/>
  <c r="BO27" i="6"/>
  <c r="BO74" i="6" s="1"/>
  <c r="N11" i="6"/>
  <c r="N58" i="6" s="1"/>
  <c r="S24" i="6"/>
  <c r="S71" i="6" s="1"/>
  <c r="V11" i="6"/>
  <c r="V58" i="6" s="1"/>
  <c r="BH43" i="6"/>
  <c r="BH90" i="6" s="1"/>
  <c r="H46" i="6"/>
  <c r="H93" i="6" s="1"/>
  <c r="L45" i="6"/>
  <c r="L92" i="6" s="1"/>
  <c r="BH16" i="6"/>
  <c r="BH63" i="6" s="1"/>
  <c r="BL35" i="6"/>
  <c r="BL82" i="6" s="1"/>
  <c r="H36" i="6"/>
  <c r="H83" i="6" s="1"/>
  <c r="P20" i="6"/>
  <c r="P67" i="6" s="1"/>
  <c r="P22" i="6"/>
  <c r="P69" i="6" s="1"/>
  <c r="I42" i="6"/>
  <c r="I89" i="6" s="1"/>
  <c r="F44" i="6"/>
  <c r="F91" i="6" s="1"/>
  <c r="P14" i="6"/>
  <c r="P61" i="6" s="1"/>
  <c r="BW29" i="6"/>
  <c r="BW76" i="6" s="1"/>
  <c r="BS7" i="6"/>
  <c r="BS54" i="6" s="1"/>
  <c r="BM11" i="6"/>
  <c r="BM58" i="6" s="1"/>
  <c r="BL43" i="6"/>
  <c r="BL90" i="6" s="1"/>
  <c r="L39" i="6"/>
  <c r="L86" i="6" s="1"/>
  <c r="M31" i="6"/>
  <c r="M78" i="6" s="1"/>
  <c r="L26" i="6"/>
  <c r="L73" i="6" s="1"/>
  <c r="AI21" i="6"/>
  <c r="AI68" i="6" s="1"/>
  <c r="BJ17" i="6"/>
  <c r="BJ64" i="6" s="1"/>
  <c r="BH19" i="6"/>
  <c r="BH66" i="6" s="1"/>
  <c r="BL6" i="6"/>
  <c r="BL53" i="6" s="1"/>
  <c r="BR37" i="6"/>
  <c r="BR84" i="6" s="1"/>
  <c r="BF21" i="6"/>
  <c r="BF68" i="6" s="1"/>
  <c r="R36" i="6"/>
  <c r="R83" i="6" s="1"/>
  <c r="R9" i="6"/>
  <c r="R56" i="6" s="1"/>
  <c r="BL10" i="6"/>
  <c r="BL57" i="6" s="1"/>
  <c r="BG22" i="6"/>
  <c r="BG69" i="6" s="1"/>
  <c r="BV32" i="6"/>
  <c r="BV79" i="6" s="1"/>
  <c r="BU33" i="6"/>
  <c r="BU80" i="6" s="1"/>
  <c r="F47" i="6"/>
  <c r="F94" i="6" s="1"/>
  <c r="BV16" i="6"/>
  <c r="BV63" i="6" s="1"/>
  <c r="AF6" i="6"/>
  <c r="AF53" i="6" s="1"/>
  <c r="BH22" i="6"/>
  <c r="BH69" i="6" s="1"/>
  <c r="BV10" i="6"/>
  <c r="BV57" i="6" s="1"/>
  <c r="L8" i="6"/>
  <c r="L55" i="6" s="1"/>
  <c r="AC44" i="6"/>
  <c r="AC91" i="6" s="1"/>
  <c r="BU21" i="6"/>
  <c r="BU68" i="6" s="1"/>
  <c r="BQ35" i="6"/>
  <c r="BQ82" i="6" s="1"/>
  <c r="H48" i="6"/>
  <c r="H95" i="6" s="1"/>
  <c r="BV35" i="6"/>
  <c r="BV82" i="6" s="1"/>
  <c r="F25" i="6"/>
  <c r="F72" i="6" s="1"/>
  <c r="H43" i="6"/>
  <c r="H90" i="6" s="1"/>
  <c r="T35" i="6"/>
  <c r="T82" i="6" s="1"/>
  <c r="AJ39" i="6"/>
  <c r="AJ86" i="6" s="1"/>
  <c r="BV41" i="6"/>
  <c r="BV88" i="6" s="1"/>
  <c r="R38" i="6"/>
  <c r="R85" i="6" s="1"/>
  <c r="S14" i="6"/>
  <c r="S61" i="6" s="1"/>
  <c r="BJ8" i="6"/>
  <c r="BJ55" i="6" s="1"/>
  <c r="W28" i="6"/>
  <c r="W75" i="6" s="1"/>
  <c r="BP42" i="6"/>
  <c r="BP89" i="6" s="1"/>
  <c r="R35" i="6"/>
  <c r="R82" i="6" s="1"/>
  <c r="BF11" i="6"/>
  <c r="BF58" i="6" s="1"/>
  <c r="BH26" i="6"/>
  <c r="BH73" i="6" s="1"/>
  <c r="J27" i="6"/>
  <c r="J74" i="6" s="1"/>
  <c r="Y47" i="6"/>
  <c r="Y94" i="6" s="1"/>
  <c r="BR21" i="6"/>
  <c r="BR68" i="6" s="1"/>
  <c r="BG34" i="6"/>
  <c r="BG81" i="6" s="1"/>
  <c r="S8" i="6"/>
  <c r="S55" i="6" s="1"/>
  <c r="R32" i="6"/>
  <c r="R79" i="6" s="1"/>
  <c r="H32" i="6"/>
  <c r="H79" i="6" s="1"/>
  <c r="BS31" i="6"/>
  <c r="BS78" i="6" s="1"/>
  <c r="BL26" i="6"/>
  <c r="BL73" i="6" s="1"/>
  <c r="Q6" i="6"/>
  <c r="Q53" i="6" s="1"/>
  <c r="BQ24" i="6"/>
  <c r="BQ71" i="6" s="1"/>
  <c r="S40" i="6"/>
  <c r="S87" i="6" s="1"/>
  <c r="H22" i="6"/>
  <c r="H69" i="6" s="1"/>
  <c r="BV27" i="6"/>
  <c r="BV74" i="6" s="1"/>
  <c r="AB15" i="6"/>
  <c r="AB62" i="6" s="1"/>
  <c r="BE15" i="6"/>
  <c r="BE62" i="6" s="1"/>
  <c r="BT34" i="6"/>
  <c r="BT81" i="6" s="1"/>
  <c r="BV43" i="6"/>
  <c r="BV90" i="6" s="1"/>
  <c r="BT43" i="6"/>
  <c r="BT90" i="6" s="1"/>
  <c r="BV17" i="6"/>
  <c r="BV64" i="6" s="1"/>
  <c r="BK41" i="6"/>
  <c r="BK88" i="6" s="1"/>
  <c r="BK33" i="6"/>
  <c r="BK80" i="6" s="1"/>
  <c r="BR31" i="6"/>
  <c r="BR78" i="6" s="1"/>
  <c r="AC49" i="6"/>
  <c r="AC96" i="6" s="1"/>
  <c r="AD22" i="6"/>
  <c r="AD69" i="6" s="1"/>
  <c r="BV8" i="6"/>
  <c r="BV55" i="6" s="1"/>
  <c r="J33" i="6"/>
  <c r="J80" i="6" s="1"/>
  <c r="BK14" i="6"/>
  <c r="BK61" i="6" s="1"/>
  <c r="BM8" i="6"/>
  <c r="BM55" i="6" s="1"/>
  <c r="BR10" i="6"/>
  <c r="BR57" i="6" s="1"/>
  <c r="O7" i="6"/>
  <c r="O54" i="6" s="1"/>
  <c r="BL36" i="6"/>
  <c r="BL83" i="6" s="1"/>
  <c r="BS25" i="6"/>
  <c r="BS72" i="6" s="1"/>
  <c r="BH27" i="6"/>
  <c r="BH74" i="6" s="1"/>
  <c r="BQ18" i="6"/>
  <c r="BQ65" i="6" s="1"/>
  <c r="BS38" i="6"/>
  <c r="BS85" i="6" s="1"/>
  <c r="J49" i="6"/>
  <c r="J96" i="6" s="1"/>
  <c r="O26" i="6"/>
  <c r="O73" i="6" s="1"/>
  <c r="BK17" i="6"/>
  <c r="BK64" i="6" s="1"/>
  <c r="BT19" i="6"/>
  <c r="BT66" i="6" s="1"/>
  <c r="J14" i="6"/>
  <c r="J61" i="6" s="1"/>
  <c r="BT15" i="6"/>
  <c r="BT62" i="6" s="1"/>
  <c r="BE32" i="6"/>
  <c r="BE79" i="6" s="1"/>
  <c r="BE33" i="6"/>
  <c r="BE80" i="6" s="1"/>
  <c r="O10" i="6"/>
  <c r="O57" i="6" s="1"/>
  <c r="AE44" i="6"/>
  <c r="AE91" i="6" s="1"/>
  <c r="L47" i="6"/>
  <c r="L94" i="6" s="1"/>
  <c r="I33" i="6"/>
  <c r="I80" i="6" s="1"/>
  <c r="BN28" i="6"/>
  <c r="BN75" i="6" s="1"/>
  <c r="BR15" i="6"/>
  <c r="BR62" i="6" s="1"/>
  <c r="AJ31" i="6"/>
  <c r="AJ78" i="6" s="1"/>
  <c r="BM16" i="6"/>
  <c r="BM63" i="6" s="1"/>
  <c r="BJ35" i="6"/>
  <c r="BJ82" i="6" s="1"/>
  <c r="P13" i="6"/>
  <c r="P60" i="6" s="1"/>
  <c r="AJ8" i="6"/>
  <c r="AJ55" i="6" s="1"/>
  <c r="AH28" i="6"/>
  <c r="AH75" i="6" s="1"/>
  <c r="BT23" i="6"/>
  <c r="BT70" i="6" s="1"/>
  <c r="H17" i="6"/>
  <c r="H64" i="6" s="1"/>
  <c r="G43" i="6"/>
  <c r="G90" i="6" s="1"/>
  <c r="BR41" i="6"/>
  <c r="BR88" i="6" s="1"/>
  <c r="BJ18" i="6"/>
  <c r="BJ65" i="6" s="1"/>
  <c r="BN36" i="6"/>
  <c r="BN83" i="6" s="1"/>
  <c r="BJ32" i="6"/>
  <c r="BJ79" i="6" s="1"/>
  <c r="BP15" i="6"/>
  <c r="BP62" i="6" s="1"/>
  <c r="BU30" i="6"/>
  <c r="BU77" i="6" s="1"/>
  <c r="K35" i="6"/>
  <c r="K82" i="6" s="1"/>
  <c r="BM6" i="6"/>
  <c r="BM53" i="6" s="1"/>
  <c r="BN23" i="6"/>
  <c r="BN70" i="6" s="1"/>
  <c r="J6" i="6"/>
  <c r="J53" i="6" s="1"/>
  <c r="BK7" i="6"/>
  <c r="BK54" i="6" s="1"/>
  <c r="BE22" i="6"/>
  <c r="BE69" i="6" s="1"/>
  <c r="BO30" i="6"/>
  <c r="BO77" i="6" s="1"/>
  <c r="G28" i="6"/>
  <c r="G75" i="6" s="1"/>
  <c r="BP8" i="6"/>
  <c r="BP55" i="6" s="1"/>
  <c r="BO12" i="6"/>
  <c r="BO59" i="6" s="1"/>
  <c r="E45" i="6"/>
  <c r="E92" i="6" s="1"/>
  <c r="BT7" i="6"/>
  <c r="BT54" i="6" s="1"/>
  <c r="O32" i="6"/>
  <c r="O79" i="6" s="1"/>
  <c r="AJ44" i="6"/>
  <c r="AJ91" i="6" s="1"/>
  <c r="BF23" i="6"/>
  <c r="BF70" i="6" s="1"/>
  <c r="K26" i="6"/>
  <c r="K73" i="6" s="1"/>
  <c r="BQ34" i="6"/>
  <c r="BQ81" i="6" s="1"/>
  <c r="R6" i="6"/>
  <c r="R53" i="6" s="1"/>
  <c r="N27" i="6"/>
  <c r="N74" i="6" s="1"/>
  <c r="AH26" i="6"/>
  <c r="AH73" i="6" s="1"/>
  <c r="BF17" i="6"/>
  <c r="BF64" i="6" s="1"/>
  <c r="T13" i="6"/>
  <c r="T60" i="6" s="1"/>
  <c r="W36" i="6"/>
  <c r="W83" i="6" s="1"/>
  <c r="BJ38" i="6"/>
  <c r="BJ85" i="6" s="1"/>
  <c r="K23" i="6"/>
  <c r="K70" i="6" s="1"/>
  <c r="BU17" i="6"/>
  <c r="BU64" i="6" s="1"/>
  <c r="BK39" i="6"/>
  <c r="BK86" i="6" s="1"/>
  <c r="BL25" i="6"/>
  <c r="BL72" i="6" s="1"/>
  <c r="W44" i="6"/>
  <c r="W91" i="6" s="1"/>
  <c r="L46" i="6"/>
  <c r="L93" i="6" s="1"/>
  <c r="G40" i="6"/>
  <c r="G87" i="6" s="1"/>
  <c r="W30" i="6"/>
  <c r="W77" i="6" s="1"/>
  <c r="BP27" i="6"/>
  <c r="BP74" i="6" s="1"/>
  <c r="BE42" i="6"/>
  <c r="BE89" i="6" s="1"/>
  <c r="Z44" i="6"/>
  <c r="Z91" i="6" s="1"/>
  <c r="BR26" i="6"/>
  <c r="BR73" i="6" s="1"/>
  <c r="Q44" i="6"/>
  <c r="Q91" i="6" s="1"/>
  <c r="AG11" i="6"/>
  <c r="AG58" i="6" s="1"/>
  <c r="BO22" i="6"/>
  <c r="BO69" i="6" s="1"/>
  <c r="BQ19" i="6"/>
  <c r="BQ66" i="6" s="1"/>
  <c r="E36" i="6"/>
  <c r="E83" i="6" s="1"/>
  <c r="E44" i="6"/>
  <c r="E91" i="6" s="1"/>
  <c r="AI44" i="6"/>
  <c r="AI91" i="6" s="1"/>
  <c r="AD6" i="6"/>
  <c r="N44" i="6"/>
  <c r="N91" i="6" s="1"/>
  <c r="BN9" i="6"/>
  <c r="BN56" i="6" s="1"/>
  <c r="H47" i="6"/>
  <c r="H94" i="6" s="1"/>
  <c r="BT22" i="6"/>
  <c r="BT69" i="6" s="1"/>
  <c r="Z34" i="6"/>
  <c r="Z81" i="6" s="1"/>
  <c r="BW16" i="6"/>
  <c r="BW63" i="6" s="1"/>
  <c r="BS15" i="6"/>
  <c r="BS62" i="6" s="1"/>
  <c r="BS29" i="6"/>
  <c r="BS76" i="6" s="1"/>
  <c r="BH17" i="6"/>
  <c r="BH64" i="6" s="1"/>
  <c r="BG30" i="6"/>
  <c r="BG77" i="6" s="1"/>
  <c r="I37" i="6"/>
  <c r="I84" i="6" s="1"/>
  <c r="AD41" i="6"/>
  <c r="AD88" i="6" s="1"/>
  <c r="J11" i="6"/>
  <c r="J58" i="6" s="1"/>
  <c r="BO39" i="6"/>
  <c r="BO86" i="6" s="1"/>
  <c r="BE6" i="6"/>
  <c r="BE53" i="6" s="1"/>
  <c r="BW25" i="6"/>
  <c r="BW72" i="6" s="1"/>
  <c r="BT39" i="6"/>
  <c r="BT86" i="6" s="1"/>
  <c r="M23" i="6"/>
  <c r="M70" i="6" s="1"/>
  <c r="BL21" i="6"/>
  <c r="BL68" i="6" s="1"/>
  <c r="BM33" i="6"/>
  <c r="BM80" i="6" s="1"/>
  <c r="BH40" i="6"/>
  <c r="BH87" i="6" s="1"/>
  <c r="BN42" i="6"/>
  <c r="BN89" i="6" s="1"/>
  <c r="BS33" i="6"/>
  <c r="BS80" i="6" s="1"/>
  <c r="BN35" i="6"/>
  <c r="BN82" i="6" s="1"/>
  <c r="Q38" i="6"/>
  <c r="Q85" i="6" s="1"/>
  <c r="BU11" i="6"/>
  <c r="BU58" i="6" s="1"/>
  <c r="P44" i="6"/>
  <c r="P91" i="6" s="1"/>
  <c r="P17" i="6"/>
  <c r="P64" i="6" s="1"/>
  <c r="BV18" i="6"/>
  <c r="BV65" i="6" s="1"/>
  <c r="E16" i="6"/>
  <c r="E63" i="6" s="1"/>
  <c r="BL16" i="6"/>
  <c r="BU39" i="6"/>
  <c r="BU86" i="6" s="1"/>
  <c r="BS28" i="6"/>
  <c r="BS75" i="6" s="1"/>
  <c r="BM20" i="6"/>
  <c r="BM67" i="6" s="1"/>
  <c r="F34" i="6"/>
  <c r="F81" i="6" s="1"/>
  <c r="G17" i="6"/>
  <c r="G64" i="6" s="1"/>
  <c r="BQ23" i="6"/>
  <c r="BQ70" i="6" s="1"/>
  <c r="AG44" i="6"/>
  <c r="AG91" i="6" s="1"/>
  <c r="N7" i="6"/>
  <c r="N54" i="6" s="1"/>
  <c r="R37" i="6"/>
  <c r="R84" i="6" s="1"/>
  <c r="N46" i="6"/>
  <c r="N93" i="6" s="1"/>
  <c r="BT41" i="6"/>
  <c r="BT88" i="6" s="1"/>
  <c r="BW43" i="6"/>
  <c r="BW90" i="6" s="1"/>
  <c r="R44" i="6"/>
  <c r="R91" i="6" s="1"/>
  <c r="BL24" i="6"/>
  <c r="BL71" i="6" s="1"/>
  <c r="BK34" i="6"/>
  <c r="BK81" i="6" s="1"/>
  <c r="BJ23" i="6"/>
  <c r="BJ70" i="6" s="1"/>
  <c r="BO10" i="6"/>
  <c r="BO57" i="6" s="1"/>
  <c r="BW15" i="6"/>
  <c r="BW62" i="6" s="1"/>
  <c r="I6" i="6"/>
  <c r="I53" i="6" s="1"/>
  <c r="BU29" i="6"/>
  <c r="BU76" i="6" s="1"/>
  <c r="N43" i="6"/>
  <c r="N90" i="6" s="1"/>
  <c r="G30" i="6"/>
  <c r="G77" i="6" s="1"/>
  <c r="BH42" i="6"/>
  <c r="BH89" i="6" s="1"/>
  <c r="BQ16" i="6"/>
  <c r="BQ63" i="6" s="1"/>
  <c r="G44" i="6"/>
  <c r="G91" i="6" s="1"/>
  <c r="BG29" i="6"/>
  <c r="BG76" i="6" s="1"/>
  <c r="BE7" i="6"/>
  <c r="BE54" i="6" s="1"/>
  <c r="BW6" i="6"/>
  <c r="BW53" i="6" s="1"/>
  <c r="BH32" i="6"/>
  <c r="BH79" i="6" s="1"/>
  <c r="BO24" i="6"/>
  <c r="BO71" i="6" s="1"/>
  <c r="X44" i="6"/>
  <c r="X91" i="6" s="1"/>
  <c r="AI6" i="6"/>
  <c r="AI53" i="6" s="1"/>
  <c r="BQ6" i="6"/>
  <c r="BQ53" i="6" s="1"/>
  <c r="BG23" i="6"/>
  <c r="BG70" i="6" s="1"/>
  <c r="Y44" i="6"/>
  <c r="Y91" i="6" s="1"/>
  <c r="E27" i="6"/>
  <c r="I14" i="6"/>
  <c r="I61" i="6" s="1"/>
  <c r="S44" i="6"/>
  <c r="S91" i="6" s="1"/>
  <c r="E17" i="6"/>
  <c r="E64" i="6" s="1"/>
  <c r="E41" i="6"/>
  <c r="F38" i="6"/>
  <c r="F85" i="6" s="1"/>
  <c r="BW13" i="6"/>
  <c r="BW60" i="6" s="1"/>
  <c r="E15" i="6"/>
  <c r="E62" i="6" s="1"/>
  <c r="AE46" i="6"/>
  <c r="AE93" i="6" s="1"/>
  <c r="E26" i="6"/>
  <c r="E73" i="6" s="1"/>
  <c r="E29" i="6"/>
  <c r="E76" i="6" s="1"/>
  <c r="AH6" i="6"/>
  <c r="E24" i="6"/>
  <c r="E71" i="6" s="1"/>
  <c r="E32" i="6"/>
  <c r="I44" i="6"/>
  <c r="I91" i="6" s="1"/>
  <c r="E47" i="6"/>
  <c r="Y6" i="6"/>
  <c r="Y53" i="6" s="1"/>
  <c r="E48" i="6"/>
  <c r="E95" i="6" s="1"/>
  <c r="AB44" i="6"/>
  <c r="AB91" i="6" s="1"/>
  <c r="X6" i="6"/>
  <c r="X53" i="6" s="1"/>
  <c r="AB6" i="6"/>
  <c r="AB53" i="6" s="1"/>
  <c r="BP35" i="6"/>
  <c r="BP82" i="6" s="1"/>
  <c r="V44" i="6"/>
  <c r="V91" i="6" s="1"/>
  <c r="K44" i="6"/>
  <c r="K91" i="6" s="1"/>
  <c r="M44" i="6"/>
  <c r="M91" i="6" s="1"/>
  <c r="AE6" i="6"/>
  <c r="AE53" i="6" s="1"/>
  <c r="BF37" i="6"/>
  <c r="BF84" i="6" s="1"/>
  <c r="E13" i="6"/>
  <c r="E60" i="6" s="1"/>
  <c r="BL41" i="6"/>
  <c r="BL88" i="6" s="1"/>
  <c r="BQ36" i="6"/>
  <c r="BQ83" i="6" s="1"/>
  <c r="BF36" i="6"/>
  <c r="BF83" i="6" s="1"/>
  <c r="J20" i="6"/>
  <c r="J67" i="6" s="1"/>
  <c r="BJ14" i="6"/>
  <c r="BJ61" i="6" s="1"/>
  <c r="O24" i="6"/>
  <c r="O71" i="6" s="1"/>
  <c r="BN41" i="6"/>
  <c r="BN88" i="6" s="1"/>
  <c r="E6" i="6"/>
  <c r="E53" i="6" s="1"/>
  <c r="BP6" i="6"/>
  <c r="BP53" i="6" s="1"/>
  <c r="O75" i="1" s="1"/>
  <c r="P75" i="1" s="1"/>
  <c r="E37" i="6"/>
  <c r="E84" i="6" s="1"/>
  <c r="E43" i="6"/>
  <c r="E90" i="6" s="1"/>
  <c r="E40" i="6"/>
  <c r="E20" i="6"/>
  <c r="E31" i="6"/>
  <c r="Z6" i="6"/>
  <c r="Z53" i="6" s="1"/>
  <c r="AH44" i="6"/>
  <c r="AH91" i="6" s="1"/>
  <c r="E38" i="6"/>
  <c r="E22" i="6"/>
  <c r="E69" i="6" s="1"/>
  <c r="E28" i="6"/>
  <c r="E75" i="6" s="1"/>
  <c r="L44" i="6"/>
  <c r="L91" i="6" s="1"/>
  <c r="BP13" i="6"/>
  <c r="BP60" i="6" s="1"/>
  <c r="U60" i="56" s="1"/>
  <c r="AC60" i="56" s="1"/>
  <c r="AI60" i="56" s="1"/>
  <c r="AJ60" i="56" s="1"/>
  <c r="AJ6" i="6"/>
  <c r="AJ53" i="6" s="1"/>
  <c r="E33" i="6"/>
  <c r="E9" i="6"/>
  <c r="E56" i="6" s="1"/>
  <c r="AC6" i="6"/>
  <c r="AC53" i="6" s="1"/>
  <c r="E35" i="6"/>
  <c r="E82" i="6" s="1"/>
  <c r="AG6" i="6"/>
  <c r="AG53" i="6" s="1"/>
  <c r="AA47" i="6"/>
  <c r="AA94" i="6" s="1"/>
  <c r="E42" i="6"/>
  <c r="E89" i="6" s="1"/>
  <c r="BP16" i="6"/>
  <c r="BP63" i="6" s="1"/>
  <c r="U72" i="56" s="1"/>
  <c r="AC72" i="56" s="1"/>
  <c r="AI72" i="56" s="1"/>
  <c r="AJ72" i="56" s="1"/>
  <c r="AD44" i="6"/>
  <c r="AD91" i="6" s="1"/>
  <c r="H44" i="6"/>
  <c r="H91" i="6" s="1"/>
  <c r="O44" i="6"/>
  <c r="O91" i="6" s="1"/>
  <c r="BP19" i="6"/>
  <c r="BP66" i="6" s="1"/>
  <c r="BP7" i="6"/>
  <c r="BP54" i="6" s="1"/>
  <c r="E49" i="6"/>
  <c r="E96" i="6" s="1"/>
  <c r="BP18" i="6"/>
  <c r="BP65" i="6" s="1"/>
  <c r="E30" i="6"/>
  <c r="E11" i="6"/>
  <c r="E58" i="6" s="1"/>
  <c r="E19" i="6"/>
  <c r="E14" i="6"/>
  <c r="E61" i="6" s="1"/>
  <c r="T44" i="6"/>
  <c r="T91" i="6" s="1"/>
  <c r="AF44" i="6"/>
  <c r="AF91" i="6" s="1"/>
  <c r="E7" i="6"/>
  <c r="E54" i="6" s="1"/>
  <c r="E25" i="6"/>
  <c r="E72" i="6" s="1"/>
  <c r="J44" i="6"/>
  <c r="J91" i="6" s="1"/>
  <c r="E10" i="6"/>
  <c r="E57" i="6" s="1"/>
  <c r="W6" i="6"/>
  <c r="W53" i="6" s="1"/>
  <c r="V6" i="6"/>
  <c r="V53" i="6" s="1"/>
  <c r="E12" i="6"/>
  <c r="E59" i="6" s="1"/>
  <c r="E34" i="6"/>
  <c r="E81" i="6" s="1"/>
  <c r="E18" i="6"/>
  <c r="BP20" i="6"/>
  <c r="BP67" i="6" s="1"/>
  <c r="BP9" i="6"/>
  <c r="BP56" i="6" s="1"/>
  <c r="E8" i="6"/>
  <c r="E55" i="6" s="1"/>
  <c r="E23" i="6"/>
  <c r="E46" i="6"/>
  <c r="E21" i="6"/>
  <c r="E39" i="6"/>
  <c r="E86" i="6" s="1"/>
  <c r="BY90" i="6" l="1"/>
  <c r="U46" i="70" s="1"/>
  <c r="B1095" i="53" s="1"/>
  <c r="BY86" i="6"/>
  <c r="BY81" i="6"/>
  <c r="U36" i="70" s="1"/>
  <c r="BY75" i="6"/>
  <c r="U31" i="70" s="1"/>
  <c r="B1420" i="53" s="1"/>
  <c r="BY82" i="6"/>
  <c r="U37" i="70" s="1"/>
  <c r="B1838" i="53" s="1"/>
  <c r="BY61" i="6"/>
  <c r="U15" i="70" s="1"/>
  <c r="BY71" i="6"/>
  <c r="U27" i="70" s="1"/>
  <c r="BY60" i="6"/>
  <c r="U14" i="70" s="1"/>
  <c r="D172" i="71"/>
  <c r="D178" i="71"/>
  <c r="D179" i="71"/>
  <c r="D173" i="71"/>
  <c r="D180" i="71"/>
  <c r="D181" i="71"/>
  <c r="D176" i="71"/>
  <c r="D177" i="71"/>
  <c r="D182" i="71"/>
  <c r="D174" i="71"/>
  <c r="D183" i="71"/>
  <c r="D175" i="71"/>
  <c r="BY69" i="6"/>
  <c r="U25" i="70" s="1"/>
  <c r="BY76" i="6"/>
  <c r="U32" i="70" s="1"/>
  <c r="BY95" i="6"/>
  <c r="U52" i="70" s="1"/>
  <c r="B2785" i="53" s="1"/>
  <c r="BY73" i="6"/>
  <c r="U29" i="70" s="1"/>
  <c r="BY63" i="6"/>
  <c r="BY57" i="6"/>
  <c r="BY83" i="6"/>
  <c r="BY72" i="6"/>
  <c r="BY89" i="6"/>
  <c r="U45" i="70" s="1"/>
  <c r="B2635" i="53" s="1"/>
  <c r="B1199" i="53"/>
  <c r="B1228" i="53"/>
  <c r="V7" i="70"/>
  <c r="W7" i="70"/>
  <c r="BY59" i="6"/>
  <c r="U13" i="70" s="1"/>
  <c r="BY84" i="6"/>
  <c r="U40" i="70" s="1"/>
  <c r="AA40" i="70" s="1"/>
  <c r="BY56" i="6"/>
  <c r="U10" i="70" s="1"/>
  <c r="AA10" i="70" s="1"/>
  <c r="BY64" i="6"/>
  <c r="U20" i="70" s="1"/>
  <c r="BY91" i="6"/>
  <c r="U47" i="70" s="1"/>
  <c r="B138" i="53" s="1"/>
  <c r="BY58" i="6"/>
  <c r="U12" i="70" s="1"/>
  <c r="B167" i="53" s="1"/>
  <c r="BY54" i="6"/>
  <c r="BY96" i="6"/>
  <c r="U53" i="70" s="1"/>
  <c r="BY62" i="6"/>
  <c r="U16" i="70" s="1"/>
  <c r="B2755" i="53" s="1"/>
  <c r="U7" i="35"/>
  <c r="V7" i="35" s="1"/>
  <c r="U6" i="35"/>
  <c r="V6" i="35" s="1"/>
  <c r="U10" i="35"/>
  <c r="V10" i="35" s="1"/>
  <c r="BX45" i="6"/>
  <c r="U14" i="35"/>
  <c r="V14" i="35" s="1"/>
  <c r="BX21" i="6"/>
  <c r="BX38" i="6"/>
  <c r="U15" i="35"/>
  <c r="V15" i="35" s="1"/>
  <c r="BX46" i="6"/>
  <c r="BX26" i="6"/>
  <c r="BX35" i="6"/>
  <c r="U2" i="35"/>
  <c r="V2" i="35" s="1"/>
  <c r="U11" i="35"/>
  <c r="V11" i="35" s="1"/>
  <c r="BX25" i="6"/>
  <c r="BX37" i="6"/>
  <c r="BX32" i="6"/>
  <c r="BX28" i="6"/>
  <c r="BX31" i="6"/>
  <c r="BX24" i="6"/>
  <c r="BX34" i="6"/>
  <c r="BX23" i="6"/>
  <c r="BX17" i="6"/>
  <c r="BX39" i="6"/>
  <c r="BX33" i="6"/>
  <c r="BX22" i="6"/>
  <c r="BX48" i="6"/>
  <c r="H92" i="6"/>
  <c r="BY92" i="6" s="1"/>
  <c r="BX30" i="6"/>
  <c r="BX27" i="6"/>
  <c r="E68" i="6"/>
  <c r="BX18" i="6"/>
  <c r="BX19" i="6"/>
  <c r="U16" i="35"/>
  <c r="V16" i="35" s="1"/>
  <c r="E85" i="6"/>
  <c r="BX29" i="6"/>
  <c r="AL98" i="6"/>
  <c r="U42" i="70"/>
  <c r="B892" i="53" s="1"/>
  <c r="U11" i="70"/>
  <c r="AA11" i="70" s="1"/>
  <c r="U38" i="70"/>
  <c r="U28" i="70"/>
  <c r="O78" i="1"/>
  <c r="P78" i="1" s="1"/>
  <c r="U36" i="56"/>
  <c r="AC36" i="56" s="1"/>
  <c r="AI36" i="56" s="1"/>
  <c r="AJ36" i="56" s="1"/>
  <c r="R29" i="24"/>
  <c r="Y29" i="24" s="1"/>
  <c r="AB29" i="24" s="1"/>
  <c r="AC29" i="24" s="1"/>
  <c r="O89" i="1"/>
  <c r="P89" i="1" s="1"/>
  <c r="U48" i="56"/>
  <c r="AC48" i="56" s="1"/>
  <c r="AI48" i="56" s="1"/>
  <c r="AJ48" i="56" s="1"/>
  <c r="R40" i="24"/>
  <c r="Y40" i="24" s="1"/>
  <c r="AB40" i="24" s="1"/>
  <c r="AC40" i="24" s="1"/>
  <c r="O92" i="1"/>
  <c r="P92" i="1" s="1"/>
  <c r="U50" i="56"/>
  <c r="AC50" i="56" s="1"/>
  <c r="AI50" i="56" s="1"/>
  <c r="AJ50" i="56" s="1"/>
  <c r="R42" i="24"/>
  <c r="Y42" i="24" s="1"/>
  <c r="AB42" i="24" s="1"/>
  <c r="AC42" i="24" s="1"/>
  <c r="O79" i="1"/>
  <c r="P79" i="1" s="1"/>
  <c r="R30" i="24"/>
  <c r="Y30" i="24" s="1"/>
  <c r="AB30" i="24" s="1"/>
  <c r="AC30" i="24" s="1"/>
  <c r="U37" i="56"/>
  <c r="AC37" i="56" s="1"/>
  <c r="AI37" i="56" s="1"/>
  <c r="AJ37" i="56" s="1"/>
  <c r="R31" i="24"/>
  <c r="Y31" i="24" s="1"/>
  <c r="AB31" i="24" s="1"/>
  <c r="AC31" i="24" s="1"/>
  <c r="O80" i="1"/>
  <c r="P80" i="1" s="1"/>
  <c r="U38" i="56"/>
  <c r="AC38" i="56" s="1"/>
  <c r="AI38" i="56" s="1"/>
  <c r="AJ38" i="56" s="1"/>
  <c r="BX40" i="6"/>
  <c r="E87" i="6"/>
  <c r="BY87" i="6" s="1"/>
  <c r="E93" i="6"/>
  <c r="BY93" i="6" s="1"/>
  <c r="E70" i="6"/>
  <c r="BY70" i="6" s="1"/>
  <c r="E65" i="6"/>
  <c r="U3" i="35"/>
  <c r="V3" i="35" s="1"/>
  <c r="E66" i="6"/>
  <c r="BY66" i="6" s="1"/>
  <c r="U9" i="35"/>
  <c r="V9" i="35" s="1"/>
  <c r="E80" i="6"/>
  <c r="BY80" i="6" s="1"/>
  <c r="BX47" i="6"/>
  <c r="BX41" i="6"/>
  <c r="BX20" i="6"/>
  <c r="E67" i="6"/>
  <c r="BY67" i="6" s="1"/>
  <c r="E77" i="6"/>
  <c r="BY77" i="6" s="1"/>
  <c r="U13" i="35"/>
  <c r="V13" i="35" s="1"/>
  <c r="E78" i="6"/>
  <c r="BY78" i="6" s="1"/>
  <c r="BX16" i="6"/>
  <c r="U4" i="35"/>
  <c r="V4" i="35" s="1"/>
  <c r="E94" i="6"/>
  <c r="BY94" i="6" s="1"/>
  <c r="E88" i="6"/>
  <c r="BY88" i="6" s="1"/>
  <c r="AH53" i="6"/>
  <c r="BX36" i="6"/>
  <c r="U8" i="35"/>
  <c r="V8" i="35" s="1"/>
  <c r="U5" i="35"/>
  <c r="V5" i="35" s="1"/>
  <c r="E79" i="6"/>
  <c r="BY79" i="6" s="1"/>
  <c r="E74" i="6"/>
  <c r="BY74" i="6" s="1"/>
  <c r="BL63" i="6"/>
  <c r="U12" i="35"/>
  <c r="V12" i="35" s="1"/>
  <c r="AD53" i="6"/>
  <c r="AA53" i="6"/>
  <c r="AL5" i="6"/>
  <c r="AL1" i="6"/>
  <c r="AL55" i="6"/>
  <c r="BY55" i="6" s="1"/>
  <c r="AM1" i="6"/>
  <c r="AM55" i="6"/>
  <c r="AO1" i="6"/>
  <c r="AN1" i="6"/>
  <c r="BY65" i="6" l="1"/>
  <c r="U21" i="70" s="1"/>
  <c r="BY68" i="6"/>
  <c r="U24" i="70" s="1"/>
  <c r="B1242" i="53"/>
  <c r="B1213" i="53"/>
  <c r="Z7" i="70"/>
  <c r="AA7" i="70"/>
  <c r="BY85" i="6"/>
  <c r="U41" i="70" s="1"/>
  <c r="AA41" i="70" s="1"/>
  <c r="B867" i="53" s="1"/>
  <c r="D190" i="71"/>
  <c r="D189" i="71"/>
  <c r="D186" i="71"/>
  <c r="D185" i="71"/>
  <c r="D195" i="71"/>
  <c r="D187" i="71"/>
  <c r="D193" i="71"/>
  <c r="D191" i="71"/>
  <c r="D194" i="71"/>
  <c r="D188" i="71"/>
  <c r="D192" i="71"/>
  <c r="D184" i="71"/>
  <c r="U8" i="70"/>
  <c r="AA8" i="70" s="1"/>
  <c r="AF8" i="70" s="1"/>
  <c r="BY53" i="6"/>
  <c r="U44" i="70"/>
  <c r="AA44" i="70" s="1"/>
  <c r="U30" i="70"/>
  <c r="AA30" i="70" s="1"/>
  <c r="B1985" i="53"/>
  <c r="U23" i="70"/>
  <c r="U33" i="70"/>
  <c r="U22" i="70"/>
  <c r="V17" i="35"/>
  <c r="W17" i="35" s="1"/>
  <c r="AA42" i="70"/>
  <c r="B1989" i="53" s="1"/>
  <c r="U18" i="70"/>
  <c r="B1688" i="53" s="1"/>
  <c r="U17" i="70"/>
  <c r="U9" i="70"/>
  <c r="AA9" i="70" s="1"/>
  <c r="B2993" i="53"/>
  <c r="B2963" i="53"/>
  <c r="B1539" i="53"/>
  <c r="AA47" i="70"/>
  <c r="B142" i="53" s="1"/>
  <c r="U43" i="70"/>
  <c r="AA43" i="70" s="1"/>
  <c r="U34" i="70"/>
  <c r="B660" i="53" s="1"/>
  <c r="U50" i="70"/>
  <c r="B254" i="53"/>
  <c r="B834" i="53"/>
  <c r="AA15" i="70"/>
  <c r="B2699" i="53" s="1"/>
  <c r="B1037" i="53"/>
  <c r="B2665" i="53"/>
  <c r="B2695" i="53"/>
  <c r="U35" i="70"/>
  <c r="B1748" i="53" s="1"/>
  <c r="U51" i="70"/>
  <c r="B49" i="53" s="1"/>
  <c r="U26" i="70"/>
  <c r="B428" i="53" s="1"/>
  <c r="B2605" i="53"/>
  <c r="AA45" i="70"/>
  <c r="B2609" i="53" s="1"/>
  <c r="B1390" i="53"/>
  <c r="AA12" i="70"/>
  <c r="AF12" i="70" s="1"/>
  <c r="B2725" i="53"/>
  <c r="B1066" i="53"/>
  <c r="B2815" i="53"/>
  <c r="AA52" i="70"/>
  <c r="AF52" i="70" s="1"/>
  <c r="AA16" i="70"/>
  <c r="B2729" i="53" s="1"/>
  <c r="AA31" i="70"/>
  <c r="B1394" i="53" s="1"/>
  <c r="AA37" i="70"/>
  <c r="B780" i="53" s="1"/>
  <c r="B108" i="53"/>
  <c r="B1182" i="53"/>
  <c r="B1153" i="53"/>
  <c r="B573" i="53"/>
  <c r="B776" i="53"/>
  <c r="AA53" i="70"/>
  <c r="B2908" i="53" s="1"/>
  <c r="B2904" i="53"/>
  <c r="B2934" i="53"/>
  <c r="B1124" i="53"/>
  <c r="AA29" i="70"/>
  <c r="B1275" i="53" s="1"/>
  <c r="B1301" i="53"/>
  <c r="B1271" i="53"/>
  <c r="B515" i="53"/>
  <c r="B196" i="53"/>
  <c r="AA13" i="70"/>
  <c r="AF13" i="70" s="1"/>
  <c r="B486" i="53"/>
  <c r="AA28" i="70"/>
  <c r="AF28" i="70" s="1"/>
  <c r="AA25" i="70"/>
  <c r="AF25" i="70" s="1"/>
  <c r="B399" i="53"/>
  <c r="AA36" i="70"/>
  <c r="B751" i="53" s="1"/>
  <c r="B747" i="53"/>
  <c r="B1808" i="53"/>
  <c r="B1778" i="53"/>
  <c r="B2874" i="53"/>
  <c r="B2844" i="53"/>
  <c r="AA46" i="70"/>
  <c r="B2848" i="53" s="1"/>
  <c r="B78" i="53"/>
  <c r="B457" i="53"/>
  <c r="AA27" i="70"/>
  <c r="AF11" i="70"/>
  <c r="B838" i="53"/>
  <c r="AF40" i="70"/>
  <c r="B805" i="53"/>
  <c r="B1868" i="53"/>
  <c r="AA38" i="70"/>
  <c r="AA14" i="70"/>
  <c r="B225" i="53"/>
  <c r="B1480" i="53"/>
  <c r="B1450" i="53"/>
  <c r="B602" i="53"/>
  <c r="AA32" i="70"/>
  <c r="AF10" i="70"/>
  <c r="AA21" i="70" l="1"/>
  <c r="AF21" i="70" s="1"/>
  <c r="B283" i="53"/>
  <c r="B1927" i="53"/>
  <c r="B863" i="53"/>
  <c r="AF41" i="70"/>
  <c r="AK41" i="70" s="1"/>
  <c r="B979" i="53"/>
  <c r="B1931" i="53"/>
  <c r="B2366" i="53"/>
  <c r="AA24" i="70"/>
  <c r="B370" i="53"/>
  <c r="D196" i="71"/>
  <c r="D199" i="71"/>
  <c r="D206" i="71"/>
  <c r="G20" i="70" s="1"/>
  <c r="D198" i="71"/>
  <c r="D201" i="71"/>
  <c r="D200" i="71"/>
  <c r="D203" i="71"/>
  <c r="D205" i="71"/>
  <c r="D197" i="71"/>
  <c r="D204" i="71"/>
  <c r="D202" i="71"/>
  <c r="D207" i="71"/>
  <c r="B1245" i="53"/>
  <c r="B1216" i="53"/>
  <c r="AF7" i="70"/>
  <c r="AA18" i="70"/>
  <c r="B1692" i="53" s="1"/>
  <c r="B1658" i="53"/>
  <c r="AA34" i="70"/>
  <c r="B1633" i="53" s="1"/>
  <c r="B689" i="53"/>
  <c r="B1360" i="53"/>
  <c r="B1599" i="53"/>
  <c r="AA23" i="70"/>
  <c r="B345" i="53" s="1"/>
  <c r="B341" i="53"/>
  <c r="B544" i="53"/>
  <c r="B1331" i="53"/>
  <c r="B2101" i="53"/>
  <c r="B2639" i="53"/>
  <c r="B2396" i="53"/>
  <c r="B1041" i="53"/>
  <c r="B1897" i="53"/>
  <c r="B2277" i="53"/>
  <c r="B1956" i="53"/>
  <c r="B950" i="53"/>
  <c r="B896" i="53"/>
  <c r="B2043" i="53"/>
  <c r="B2247" i="53"/>
  <c r="B631" i="53"/>
  <c r="B1569" i="53"/>
  <c r="B1510" i="53"/>
  <c r="AA33" i="70"/>
  <c r="B1573" i="53" s="1"/>
  <c r="B312" i="53"/>
  <c r="AA22" i="70"/>
  <c r="B316" i="53" s="1"/>
  <c r="B2014" i="53"/>
  <c r="B2217" i="53"/>
  <c r="B921" i="53"/>
  <c r="AA17" i="70"/>
  <c r="AF17" i="70" s="1"/>
  <c r="B20" i="53"/>
  <c r="B2159" i="53"/>
  <c r="AA50" i="70"/>
  <c r="B2489" i="53" s="1"/>
  <c r="B2515" i="53"/>
  <c r="B2485" i="53"/>
  <c r="B1629" i="53"/>
  <c r="AF47" i="70"/>
  <c r="B1543" i="53"/>
  <c r="B2997" i="53"/>
  <c r="B2967" i="53"/>
  <c r="AF42" i="70"/>
  <c r="AJ42" i="70" s="1"/>
  <c r="AM42" i="70" s="1"/>
  <c r="AF45" i="70"/>
  <c r="AK45" i="70" s="1"/>
  <c r="B2669" i="53"/>
  <c r="AF15" i="70"/>
  <c r="AK15" i="70" s="1"/>
  <c r="AA35" i="70"/>
  <c r="B1752" i="53" s="1"/>
  <c r="B1718" i="53"/>
  <c r="B718" i="53"/>
  <c r="AA51" i="70"/>
  <c r="B53" i="53" s="1"/>
  <c r="B2188" i="53"/>
  <c r="B2545" i="53"/>
  <c r="B2575" i="53"/>
  <c r="AA26" i="70"/>
  <c r="AF26" i="70" s="1"/>
  <c r="B112" i="53"/>
  <c r="B403" i="53"/>
  <c r="B171" i="53"/>
  <c r="B1157" i="53"/>
  <c r="B1070" i="53"/>
  <c r="AF36" i="70"/>
  <c r="AK36" i="70" s="1"/>
  <c r="B2819" i="53"/>
  <c r="B2878" i="53"/>
  <c r="B1812" i="53"/>
  <c r="B2789" i="53"/>
  <c r="B1099" i="53"/>
  <c r="B1186" i="53"/>
  <c r="AF46" i="70"/>
  <c r="AJ46" i="70" s="1"/>
  <c r="AM46" i="70" s="1"/>
  <c r="B1782" i="53"/>
  <c r="AA39" i="70"/>
  <c r="B1424" i="53"/>
  <c r="B1842" i="53"/>
  <c r="B577" i="53"/>
  <c r="B200" i="53"/>
  <c r="B2938" i="53"/>
  <c r="B2759" i="53"/>
  <c r="AF31" i="70"/>
  <c r="AJ31" i="70" s="1"/>
  <c r="AM31" i="70" s="1"/>
  <c r="B1128" i="53"/>
  <c r="AF16" i="70"/>
  <c r="AK16" i="70" s="1"/>
  <c r="B1305" i="53"/>
  <c r="AF37" i="70"/>
  <c r="AK37" i="70" s="1"/>
  <c r="B519" i="53"/>
  <c r="AF29" i="70"/>
  <c r="AK29" i="70" s="1"/>
  <c r="B490" i="53"/>
  <c r="AF53" i="70"/>
  <c r="AJ53" i="70" s="1"/>
  <c r="B606" i="53"/>
  <c r="B1454" i="53"/>
  <c r="B1484" i="53"/>
  <c r="AF32" i="70"/>
  <c r="AK8" i="70"/>
  <c r="AJ8" i="70"/>
  <c r="B229" i="53"/>
  <c r="AF14" i="70"/>
  <c r="B548" i="53"/>
  <c r="B1364" i="53"/>
  <c r="B1335" i="53"/>
  <c r="AF30" i="70"/>
  <c r="AJ40" i="70"/>
  <c r="AM40" i="70" s="1"/>
  <c r="AK40" i="70"/>
  <c r="AK11" i="70"/>
  <c r="AJ11" i="70"/>
  <c r="AK13" i="70"/>
  <c r="AJ13" i="70"/>
  <c r="B206" i="53" s="1"/>
  <c r="B2105" i="53"/>
  <c r="B983" i="53"/>
  <c r="B2370" i="53"/>
  <c r="B2400" i="53"/>
  <c r="AF44" i="70"/>
  <c r="AK10" i="70"/>
  <c r="AJ10" i="70"/>
  <c r="AK28" i="70"/>
  <c r="AJ28" i="70"/>
  <c r="AK25" i="70"/>
  <c r="AJ25" i="70"/>
  <c r="B461" i="53"/>
  <c r="AF27" i="70"/>
  <c r="AF9" i="70"/>
  <c r="B82" i="53"/>
  <c r="AK52" i="70"/>
  <c r="AJ52" i="70"/>
  <c r="B809" i="53"/>
  <c r="AF38" i="70"/>
  <c r="B1872" i="53"/>
  <c r="B954" i="53"/>
  <c r="B2047" i="53"/>
  <c r="B1960" i="53"/>
  <c r="B2281" i="53"/>
  <c r="B1901" i="53"/>
  <c r="B2251" i="53"/>
  <c r="AF43" i="70"/>
  <c r="AJ12" i="70"/>
  <c r="B177" i="53" s="1"/>
  <c r="AK12" i="70"/>
  <c r="B496" i="53" l="1"/>
  <c r="AM28" i="70"/>
  <c r="B409" i="53"/>
  <c r="AM25" i="70"/>
  <c r="B287" i="53"/>
  <c r="AJ41" i="70"/>
  <c r="B374" i="53"/>
  <c r="AF24" i="70"/>
  <c r="AF18" i="70"/>
  <c r="AJ18" i="70" s="1"/>
  <c r="B1662" i="53"/>
  <c r="B241" i="53"/>
  <c r="W20" i="70"/>
  <c r="V20" i="70"/>
  <c r="B693" i="53"/>
  <c r="AJ7" i="70"/>
  <c r="AK7" i="70"/>
  <c r="B664" i="53"/>
  <c r="AF34" i="70"/>
  <c r="AK34" i="70" s="1"/>
  <c r="B1603" i="53"/>
  <c r="B635" i="53"/>
  <c r="AF23" i="70"/>
  <c r="AK23" i="70" s="1"/>
  <c r="B1514" i="53"/>
  <c r="AF33" i="70"/>
  <c r="AJ33" i="70" s="1"/>
  <c r="AM33" i="70" s="1"/>
  <c r="AF22" i="70"/>
  <c r="AK22" i="70" s="1"/>
  <c r="B2519" i="53"/>
  <c r="B2163" i="53"/>
  <c r="AJ45" i="70"/>
  <c r="B2018" i="53"/>
  <c r="B925" i="53"/>
  <c r="B24" i="53"/>
  <c r="B2221" i="53"/>
  <c r="AA6" i="70"/>
  <c r="AF50" i="70"/>
  <c r="AJ50" i="70" s="1"/>
  <c r="B30" i="53" s="1"/>
  <c r="AA48" i="70"/>
  <c r="AJ15" i="70"/>
  <c r="B1047" i="53" s="1"/>
  <c r="AK42" i="70"/>
  <c r="AK47" i="70"/>
  <c r="AJ47" i="70"/>
  <c r="AM47" i="70" s="1"/>
  <c r="AF35" i="70"/>
  <c r="B722" i="53"/>
  <c r="B1722" i="53"/>
  <c r="AF51" i="70"/>
  <c r="AK51" i="70" s="1"/>
  <c r="B2579" i="53"/>
  <c r="B2549" i="53"/>
  <c r="B2192" i="53"/>
  <c r="B432" i="53"/>
  <c r="AJ36" i="70"/>
  <c r="AK46" i="70"/>
  <c r="AJ37" i="70"/>
  <c r="AJ16" i="70"/>
  <c r="B1076" i="53" s="1"/>
  <c r="AF39" i="70"/>
  <c r="AJ29" i="70"/>
  <c r="AK31" i="70"/>
  <c r="AK53" i="70"/>
  <c r="B118" i="53"/>
  <c r="AJ44" i="70"/>
  <c r="AM44" i="70" s="1"/>
  <c r="AK44" i="70"/>
  <c r="AK26" i="70"/>
  <c r="AJ26" i="70"/>
  <c r="B1400" i="53"/>
  <c r="B1430" i="53"/>
  <c r="B583" i="53"/>
  <c r="AJ32" i="70"/>
  <c r="AM32" i="70" s="1"/>
  <c r="AK32" i="70"/>
  <c r="B2795" i="53"/>
  <c r="B1192" i="53"/>
  <c r="B2825" i="53"/>
  <c r="AK17" i="70"/>
  <c r="AJ17" i="70"/>
  <c r="B2914" i="53"/>
  <c r="B2944" i="53"/>
  <c r="B1134" i="53"/>
  <c r="B844" i="53"/>
  <c r="AJ30" i="70"/>
  <c r="AM30" i="70" s="1"/>
  <c r="AK30" i="70"/>
  <c r="AJ14" i="70"/>
  <c r="B235" i="53" s="1"/>
  <c r="AK14" i="70"/>
  <c r="B902" i="53"/>
  <c r="B1995" i="53"/>
  <c r="AJ9" i="70"/>
  <c r="AK9" i="70"/>
  <c r="B2884" i="53"/>
  <c r="B1105" i="53"/>
  <c r="B2854" i="53"/>
  <c r="AJ43" i="70"/>
  <c r="AM43" i="70" s="1"/>
  <c r="AK43" i="70"/>
  <c r="AJ38" i="70"/>
  <c r="AM38" i="70" s="1"/>
  <c r="AK38" i="70"/>
  <c r="AK21" i="70"/>
  <c r="AJ21" i="70"/>
  <c r="AM21" i="70" s="1"/>
  <c r="AK27" i="70"/>
  <c r="AJ27" i="70"/>
  <c r="B1937" i="53" l="1"/>
  <c r="AM41" i="70"/>
  <c r="B438" i="53"/>
  <c r="AM26" i="70"/>
  <c r="B2645" i="53"/>
  <c r="AM45" i="70"/>
  <c r="B467" i="53"/>
  <c r="AM27" i="70"/>
  <c r="B1311" i="53"/>
  <c r="AM29" i="70"/>
  <c r="B1818" i="53"/>
  <c r="AM36" i="70"/>
  <c r="B1848" i="53"/>
  <c r="AM37" i="70"/>
  <c r="AK35" i="70"/>
  <c r="AJ35" i="70"/>
  <c r="AM35" i="70" s="1"/>
  <c r="B873" i="53"/>
  <c r="AK18" i="70"/>
  <c r="AF6" i="70"/>
  <c r="AK24" i="70"/>
  <c r="AJ24" i="70"/>
  <c r="B1251" i="53"/>
  <c r="B1222" i="53"/>
  <c r="B255" i="53"/>
  <c r="Z20" i="70"/>
  <c r="AA20" i="70" s="1"/>
  <c r="AJ34" i="70"/>
  <c r="AJ23" i="70"/>
  <c r="AK50" i="70"/>
  <c r="AK48" i="70" s="1"/>
  <c r="AJ22" i="70"/>
  <c r="AK33" i="70"/>
  <c r="B88" i="53"/>
  <c r="B2615" i="53"/>
  <c r="B2675" i="53"/>
  <c r="B2705" i="53"/>
  <c r="B3003" i="53"/>
  <c r="B1549" i="53"/>
  <c r="B2973" i="53"/>
  <c r="B148" i="53"/>
  <c r="AF48" i="70"/>
  <c r="AJ51" i="70"/>
  <c r="B59" i="53" s="1"/>
  <c r="B786" i="53"/>
  <c r="B1788" i="53"/>
  <c r="B757" i="53"/>
  <c r="B525" i="53"/>
  <c r="B1281" i="53"/>
  <c r="B1163" i="53"/>
  <c r="B2735" i="53"/>
  <c r="B2765" i="53"/>
  <c r="AK6" i="70"/>
  <c r="AJ39" i="70"/>
  <c r="AJ6" i="70"/>
  <c r="B293" i="53"/>
  <c r="AK39" i="70"/>
  <c r="B1966" i="53"/>
  <c r="B960" i="53"/>
  <c r="B1907" i="53"/>
  <c r="B2053" i="53"/>
  <c r="B2287" i="53"/>
  <c r="B2257" i="53"/>
  <c r="B1370" i="53"/>
  <c r="B1341" i="53"/>
  <c r="B554" i="53"/>
  <c r="B2227" i="53"/>
  <c r="B931" i="53"/>
  <c r="B2024" i="53"/>
  <c r="B641" i="53"/>
  <c r="B1579" i="53"/>
  <c r="B1520" i="53"/>
  <c r="B612" i="53"/>
  <c r="B1460" i="53"/>
  <c r="B1490" i="53"/>
  <c r="B2406" i="53"/>
  <c r="B2376" i="53"/>
  <c r="B989" i="53"/>
  <c r="B2111" i="53"/>
  <c r="B2169" i="53"/>
  <c r="B2495" i="53"/>
  <c r="B2525" i="53"/>
  <c r="B1668" i="53"/>
  <c r="B699" i="53"/>
  <c r="B1698" i="53"/>
  <c r="B1878" i="53"/>
  <c r="B815" i="53"/>
  <c r="B322" i="53" l="1"/>
  <c r="AM22" i="70"/>
  <c r="B380" i="53"/>
  <c r="AM24" i="70"/>
  <c r="B351" i="53"/>
  <c r="AM23" i="70"/>
  <c r="B1609" i="53"/>
  <c r="AM34" i="70"/>
  <c r="B1639" i="53"/>
  <c r="B258" i="53"/>
  <c r="AF20" i="70"/>
  <c r="AA19" i="70"/>
  <c r="AA54" i="70" s="1"/>
  <c r="B670" i="53"/>
  <c r="B728" i="53"/>
  <c r="B1758" i="53"/>
  <c r="B1728" i="53"/>
  <c r="AJ48" i="70"/>
  <c r="B2555" i="53"/>
  <c r="B2198" i="53"/>
  <c r="B2585" i="53"/>
  <c r="AJ20" i="70" l="1"/>
  <c r="AM20" i="70" s="1"/>
  <c r="AK20" i="70"/>
  <c r="AK19" i="70" s="1"/>
  <c r="AK54" i="70" s="1"/>
  <c r="AI59" i="70" s="1"/>
  <c r="AF19" i="70"/>
  <c r="AF54" i="70" s="1"/>
  <c r="AK57" i="70"/>
  <c r="B264" i="53" l="1"/>
  <c r="AJ19" i="70"/>
  <c r="AJ54" i="70" s="1"/>
</calcChain>
</file>

<file path=xl/comments1.xml><?xml version="1.0" encoding="utf-8"?>
<comments xmlns="http://schemas.openxmlformats.org/spreadsheetml/2006/main">
  <authors>
    <author>Luxury</author>
  </authors>
  <commentList>
    <comment ref="D98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99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công nhân đóng gói qua</t>
        </r>
      </text>
    </comment>
    <comment ref="D100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comments2.xml><?xml version="1.0" encoding="utf-8"?>
<comments xmlns="http://schemas.openxmlformats.org/spreadsheetml/2006/main">
  <authors>
    <author>Luxury</author>
  </authors>
  <commentList>
    <comment ref="D32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ĐS qua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comments3.xml><?xml version="1.0" encoding="utf-8"?>
<comments xmlns="http://schemas.openxmlformats.org/spreadsheetml/2006/main">
  <authors>
    <author>Luxury</author>
  </authors>
  <commentList>
    <comment ref="AO62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1 ngày của tháng 01
</t>
        </r>
      </text>
    </comment>
  </commentList>
</comments>
</file>

<file path=xl/comments4.xml><?xml version="1.0" encoding="utf-8"?>
<comments xmlns="http://schemas.openxmlformats.org/spreadsheetml/2006/main">
  <authors>
    <author>Luxury</author>
    <author>ANH</author>
  </authors>
  <commentList>
    <comment ref="AO1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bù thiếu tháng 6</t>
        </r>
      </text>
    </comment>
    <comment ref="I19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 sắp xếp được công việc</t>
        </r>
      </text>
    </comment>
    <comment ref="G20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không sắp xếp được công việc</t>
        </r>
      </text>
    </comment>
    <comment ref="T20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do k sắp xếp được công việc</t>
        </r>
      </text>
    </comment>
    <comment ref="AA21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do không sắp xếp được công việc</t>
        </r>
      </text>
    </comment>
    <comment ref="I2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</t>
        </r>
      </text>
    </comment>
    <comment ref="V2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không sắp xếp được công việc</t>
        </r>
      </text>
    </comment>
    <comment ref="AH2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không sắp xếp được cộng việc</t>
        </r>
      </text>
    </comment>
    <comment ref="T2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không sắp xếp được công việc</t>
        </r>
      </text>
    </comment>
    <comment ref="AH2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không sắp xếp được cộng việc</t>
        </r>
      </text>
    </comment>
    <comment ref="J27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do k sắp xếp được công việc</t>
        </r>
      </text>
    </comment>
    <comment ref="E29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không sắp xếp được công việc</t>
        </r>
      </text>
    </comment>
    <comment ref="AI32" authorId="1" shapeId="0">
      <text>
        <r>
          <rPr>
            <b/>
            <sz val="9"/>
            <color indexed="81"/>
            <rFont val="Tahoma"/>
            <family val="2"/>
          </rPr>
          <t>ANH:</t>
        </r>
        <r>
          <rPr>
            <sz val="9"/>
            <color indexed="81"/>
            <rFont val="Tahoma"/>
            <family val="2"/>
          </rPr>
          <t xml:space="preserve">
Nghỉ bệnh tới 28/09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công nhân đóng gói qua</t>
        </r>
      </text>
    </comment>
    <comment ref="K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do k sắp xếp được công việc</t>
        </r>
      </text>
    </comment>
    <comment ref="O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do k sắp xếp được công việc</t>
        </r>
      </text>
    </comment>
    <comment ref="Z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do k sắp xếp được công việc</t>
        </r>
      </text>
    </comment>
    <comment ref="AG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do k sắp xếp được công việc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  <comment ref="AP39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bù thiếu 4 tiếng tháng 7 </t>
        </r>
      </text>
    </comment>
  </commentList>
</comments>
</file>

<file path=xl/comments5.xml><?xml version="1.0" encoding="utf-8"?>
<comments xmlns="http://schemas.openxmlformats.org/spreadsheetml/2006/main">
  <authors>
    <author>ANH</author>
    <author>Luxury</author>
  </authors>
  <commentList>
    <comment ref="Y10" authorId="0" shapeId="0">
      <text>
        <r>
          <rPr>
            <b/>
            <sz val="9"/>
            <color indexed="81"/>
            <rFont val="Tahoma"/>
            <family val="2"/>
          </rPr>
          <t>ANH:</t>
        </r>
        <r>
          <rPr>
            <sz val="9"/>
            <color indexed="81"/>
            <rFont val="Tahoma"/>
            <family val="2"/>
          </rPr>
          <t xml:space="preserve">
Bù 300k tiền chuyên cần tháng 08</t>
        </r>
      </text>
    </comment>
    <comment ref="AI15" authorId="1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trả lại tiền BHXH tháng trước trừ nhầm</t>
        </r>
      </text>
    </comment>
    <comment ref="D18" authorId="1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</t>
        </r>
      </text>
    </comment>
    <comment ref="D34" authorId="1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5" authorId="1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ĐS qua</t>
        </r>
      </text>
    </comment>
    <comment ref="D36" authorId="1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sharedStrings.xml><?xml version="1.0" encoding="utf-8"?>
<sst xmlns="http://schemas.openxmlformats.org/spreadsheetml/2006/main" count="6182" uniqueCount="922">
  <si>
    <t>STT</t>
  </si>
  <si>
    <t>Mã Nhân viên</t>
  </si>
  <si>
    <t>Họ và Tên</t>
  </si>
  <si>
    <t>Chức vụ</t>
  </si>
  <si>
    <t>BAN GIÁM ĐỐC</t>
  </si>
  <si>
    <t>A</t>
  </si>
  <si>
    <t>B</t>
  </si>
  <si>
    <t>PHÒNG TÀI CHÍNH - KẾ TOÁN</t>
  </si>
  <si>
    <t>C</t>
  </si>
  <si>
    <t>PHÒNG VẬT TƯ</t>
  </si>
  <si>
    <t>D</t>
  </si>
  <si>
    <t>PHÒNG KINH DOANH</t>
  </si>
  <si>
    <t>F</t>
  </si>
  <si>
    <t>PHÒNG HÀNH CHÍNH - NHÂN SỰ</t>
  </si>
  <si>
    <t>G</t>
  </si>
  <si>
    <t>QUẢN LÝ SẢN XUẤT</t>
  </si>
  <si>
    <t>H</t>
  </si>
  <si>
    <t>CHUYÊN VIÊN KỸ THUẬT</t>
  </si>
  <si>
    <t>J</t>
  </si>
  <si>
    <t>CÔNG NHÂN KỸ THUẬT</t>
  </si>
  <si>
    <t>Ngô Pa Ri</t>
  </si>
  <si>
    <t>Nguyễn Văn Thảo</t>
  </si>
  <si>
    <t>Nguyễn Văn Bảy</t>
  </si>
  <si>
    <t>Ngô Thị Phan Hiền</t>
  </si>
  <si>
    <t>Ninh Phương Hạnh</t>
  </si>
  <si>
    <t>Nguyễn Thị Hồng Ánh</t>
  </si>
  <si>
    <t>Nguyễn Thái Ngân</t>
  </si>
  <si>
    <t>Lê Minh Trung</t>
  </si>
  <si>
    <t>Trương Công Oanh</t>
  </si>
  <si>
    <t>Lê Thanh Huy</t>
  </si>
  <si>
    <t>Ngô Thế Giang</t>
  </si>
  <si>
    <t>Trần Văn Vị Toàn</t>
  </si>
  <si>
    <t>Phương Bình</t>
  </si>
  <si>
    <t>Phạm Thanh Tùng</t>
  </si>
  <si>
    <t>Huỳnh Thanh Liêm</t>
  </si>
  <si>
    <t>Nguyễn Đỗ Quỳnh Phương</t>
  </si>
  <si>
    <t>Đồng Anh Tuấn</t>
  </si>
  <si>
    <t>Nguyễn Thọ Ngọc</t>
  </si>
  <si>
    <t>Hoàng Giáng Sinh</t>
  </si>
  <si>
    <t>Cao Hiệp Thương</t>
  </si>
  <si>
    <t xml:space="preserve">Nguyễn Cường </t>
  </si>
  <si>
    <t>Lê Đức Bình</t>
  </si>
  <si>
    <t>Nguyễn Văn Tuấn</t>
  </si>
  <si>
    <t>Đặng Duy Phương</t>
  </si>
  <si>
    <t>Nguyễn Tuấn Anh</t>
  </si>
  <si>
    <t>Nguyễn Thị Thơ</t>
  </si>
  <si>
    <t>Phạm Văn Phú</t>
  </si>
  <si>
    <t>Huỳnh Tấn Công</t>
  </si>
  <si>
    <t>Phạm Thị Nhẫn</t>
  </si>
  <si>
    <t>Hình Phúc Nhân</t>
  </si>
  <si>
    <t>Lê Tấn Dũng</t>
  </si>
  <si>
    <t>Nguyễn Thanh Tùng</t>
  </si>
  <si>
    <t>Nguyễn Thành Ngoan</t>
  </si>
  <si>
    <t>Nguyễn Thanh Cường</t>
  </si>
  <si>
    <t>Nguyễn Ngọc Hiếu</t>
  </si>
  <si>
    <t>Khâu Phước Tài</t>
  </si>
  <si>
    <t>Nguyễn Văn Linh</t>
  </si>
  <si>
    <t>Nguyễn Văn Chung</t>
  </si>
  <si>
    <t>Lê Hoàng Phúc</t>
  </si>
  <si>
    <t>Nguyễn Hùng Dũng</t>
  </si>
  <si>
    <t>Nguyễn Văn Do</t>
  </si>
  <si>
    <t>Hồ Phan Thiết Toàn</t>
  </si>
  <si>
    <t>Nguyễn Đình Huệ</t>
  </si>
  <si>
    <t>Nguyễn Văn Thanh</t>
  </si>
  <si>
    <t>Chề A Sắt</t>
  </si>
  <si>
    <t>Ngô Đình Chung</t>
  </si>
  <si>
    <t>Lê Công Nhất Trung</t>
  </si>
  <si>
    <t>Trần Ngọc Minh</t>
  </si>
  <si>
    <t>Chung Văn Hiệp</t>
  </si>
  <si>
    <t>Triệu Minh Thắng</t>
  </si>
  <si>
    <t>Nguyễn Trọng Minh</t>
  </si>
  <si>
    <t>Châu Thành Nhân</t>
  </si>
  <si>
    <t>Đào Công Thắng</t>
  </si>
  <si>
    <t>Nguyễn Thành Phụng</t>
  </si>
  <si>
    <t>Lê Tấn Phát</t>
  </si>
  <si>
    <t>Thạch Giàu</t>
  </si>
  <si>
    <t>Nguyễn Quốc Việt</t>
  </si>
  <si>
    <t>Trần Thanh Hậu</t>
  </si>
  <si>
    <t>Nguyễn Tấn Kiệt</t>
  </si>
  <si>
    <t>Nguyễn Văn Hoàng</t>
  </si>
  <si>
    <t>Quách Văn Chánh</t>
  </si>
  <si>
    <t>Nguyễn Thanh Nhàn</t>
  </si>
  <si>
    <t>Lê Tấn Hùng</t>
  </si>
  <si>
    <t>Lâm Ban</t>
  </si>
  <si>
    <t>Ngô Văn Thanh</t>
  </si>
  <si>
    <t>Triệu Quốc Minh</t>
  </si>
  <si>
    <t>Nguyễn Văn Phụng</t>
  </si>
  <si>
    <t>Nguyễn Văn Chạy</t>
  </si>
  <si>
    <t>Hà Hoàng Hùng</t>
  </si>
  <si>
    <t xml:space="preserve">Phan Văn Bạn </t>
  </si>
  <si>
    <t xml:space="preserve">Nguyễn Văn Lâm </t>
  </si>
  <si>
    <t xml:space="preserve">Nguyễn Minh Tuấn </t>
  </si>
  <si>
    <t xml:space="preserve">Phan Hoàng Phương </t>
  </si>
  <si>
    <t xml:space="preserve">Trần Văn Thứ </t>
  </si>
  <si>
    <t>CTHĐTV</t>
  </si>
  <si>
    <t>Tổng Giám Đốc</t>
  </si>
  <si>
    <t>Giám Đốc Tài Chính - Kế Toán trưởng</t>
  </si>
  <si>
    <t>Chuyên viên Tài Chính</t>
  </si>
  <si>
    <t>Thủ quỹ</t>
  </si>
  <si>
    <t>KTV</t>
  </si>
  <si>
    <t>NV thu nợ</t>
  </si>
  <si>
    <t>KT Tổng Hợp</t>
  </si>
  <si>
    <t>Trưởng Ban Vật tư</t>
  </si>
  <si>
    <t>Giám Sát</t>
  </si>
  <si>
    <t>NV thu mua</t>
  </si>
  <si>
    <t>Giám Đốc Kinh Doanh</t>
  </si>
  <si>
    <t>Sale Admin</t>
  </si>
  <si>
    <t>Ngô Mạnh Linh</t>
  </si>
  <si>
    <t>TBP điều xe</t>
  </si>
  <si>
    <t>Tài xế</t>
  </si>
  <si>
    <t>Phan Thanh Tùng</t>
  </si>
  <si>
    <t>Nguyễn Hồng Hải</t>
  </si>
  <si>
    <t>TBP Giao nhận</t>
  </si>
  <si>
    <t>TBP Bán hàng</t>
  </si>
  <si>
    <t>NV kinh doanh</t>
  </si>
  <si>
    <t>NV giao nhận</t>
  </si>
  <si>
    <t>NV Phụ xe</t>
  </si>
  <si>
    <t>NV HC-NS</t>
  </si>
  <si>
    <t>NV01</t>
  </si>
  <si>
    <t>NV02</t>
  </si>
  <si>
    <t>NV03</t>
  </si>
  <si>
    <t>NV04</t>
  </si>
  <si>
    <t>NV05</t>
  </si>
  <si>
    <t>NV06</t>
  </si>
  <si>
    <t>NV07</t>
  </si>
  <si>
    <t>NV08</t>
  </si>
  <si>
    <t>NV09</t>
  </si>
  <si>
    <t>NV10</t>
  </si>
  <si>
    <t>NV11</t>
  </si>
  <si>
    <t>NV12</t>
  </si>
  <si>
    <t>NV13</t>
  </si>
  <si>
    <t>NV14</t>
  </si>
  <si>
    <t>NV15</t>
  </si>
  <si>
    <t>NV16</t>
  </si>
  <si>
    <t>NV17</t>
  </si>
  <si>
    <t>NV18</t>
  </si>
  <si>
    <t>NV19</t>
  </si>
  <si>
    <t>NV20</t>
  </si>
  <si>
    <t>NV21</t>
  </si>
  <si>
    <t>NV22</t>
  </si>
  <si>
    <t>NV23</t>
  </si>
  <si>
    <t>NV24</t>
  </si>
  <si>
    <t>NV25</t>
  </si>
  <si>
    <t>NV26</t>
  </si>
  <si>
    <t>NV27</t>
  </si>
  <si>
    <t>NV28</t>
  </si>
  <si>
    <t>NV29</t>
  </si>
  <si>
    <t>NV30</t>
  </si>
  <si>
    <t>NV31</t>
  </si>
  <si>
    <t>NV32</t>
  </si>
  <si>
    <t>NV33</t>
  </si>
  <si>
    <t>NV34</t>
  </si>
  <si>
    <t>NV35</t>
  </si>
  <si>
    <t>NV36</t>
  </si>
  <si>
    <t>NV37</t>
  </si>
  <si>
    <t>NV38</t>
  </si>
  <si>
    <t>NV39</t>
  </si>
  <si>
    <t>NV40</t>
  </si>
  <si>
    <t>NV41</t>
  </si>
  <si>
    <t>NV42</t>
  </si>
  <si>
    <t>NV43</t>
  </si>
  <si>
    <t>NV44</t>
  </si>
  <si>
    <t>NV45</t>
  </si>
  <si>
    <t>NV46</t>
  </si>
  <si>
    <t>NV47</t>
  </si>
  <si>
    <t>NV48</t>
  </si>
  <si>
    <t>NV49</t>
  </si>
  <si>
    <t>NV50</t>
  </si>
  <si>
    <t>NV51</t>
  </si>
  <si>
    <t>NV52</t>
  </si>
  <si>
    <t>NV53</t>
  </si>
  <si>
    <t>NV54</t>
  </si>
  <si>
    <t>NV55</t>
  </si>
  <si>
    <t>NV56</t>
  </si>
  <si>
    <t>NV57</t>
  </si>
  <si>
    <t>NV58</t>
  </si>
  <si>
    <t>NV59</t>
  </si>
  <si>
    <t>NV60</t>
  </si>
  <si>
    <t>NV61</t>
  </si>
  <si>
    <t>NV62</t>
  </si>
  <si>
    <t>NV63</t>
  </si>
  <si>
    <t>NV64</t>
  </si>
  <si>
    <t>NV65</t>
  </si>
  <si>
    <t>NV66</t>
  </si>
  <si>
    <t>NV67</t>
  </si>
  <si>
    <t>NV68</t>
  </si>
  <si>
    <t>NV69</t>
  </si>
  <si>
    <t>NV70</t>
  </si>
  <si>
    <t>NV71</t>
  </si>
  <si>
    <t>NV72</t>
  </si>
  <si>
    <t>NV73</t>
  </si>
  <si>
    <t>NV74</t>
  </si>
  <si>
    <t>NV75</t>
  </si>
  <si>
    <t>NV76</t>
  </si>
  <si>
    <t>NV77</t>
  </si>
  <si>
    <t>NV78</t>
  </si>
  <si>
    <t>NV79</t>
  </si>
  <si>
    <t>NV80</t>
  </si>
  <si>
    <t>NV81</t>
  </si>
  <si>
    <t>NV82</t>
  </si>
  <si>
    <t>NV83</t>
  </si>
  <si>
    <t>Quản đốc SX</t>
  </si>
  <si>
    <t>Trợ lý SX</t>
  </si>
  <si>
    <t>NV trạm cân</t>
  </si>
  <si>
    <t>KS Môi trường</t>
  </si>
  <si>
    <t>KS Nông nghiệp</t>
  </si>
  <si>
    <t>Lái xe cơ giới</t>
  </si>
  <si>
    <t xml:space="preserve">Công nhân </t>
  </si>
  <si>
    <t>D.01</t>
  </si>
  <si>
    <t>D.02</t>
  </si>
  <si>
    <t>D.03</t>
  </si>
  <si>
    <t>D.04</t>
  </si>
  <si>
    <t>D.05</t>
  </si>
  <si>
    <t>A. MỨC LƯƠNG TỐI THIỂU: Mức lương tối thiểu doanh nghiệp áp dụng:</t>
  </si>
  <si>
    <t>B. HỆ THỐNG THANG LƯƠNG, BẢNG LƯƠNG</t>
  </si>
  <si>
    <t>I. Thang lương chức vụ quản lý doanh nghiệp:</t>
  </si>
  <si>
    <t>Chức danh công việc</t>
  </si>
  <si>
    <t>Ngạch lương</t>
  </si>
  <si>
    <t>Hệ số</t>
  </si>
  <si>
    <t>Mức lương tháng</t>
  </si>
  <si>
    <t>Mức lương ngày</t>
  </si>
  <si>
    <t>2. Kế toán trưởng, Trưởng phòng</t>
  </si>
  <si>
    <t>II. Thang lương viên chức, chuyên môn, thừa hành, nghiệp vụ:</t>
  </si>
  <si>
    <t>1. Trợ lý GĐ, trưởng đầu ngành, chuyên viên</t>
  </si>
  <si>
    <t>5. Nhân viên văn thư, NVgiao hàng, phụ xe</t>
  </si>
  <si>
    <t>6. Lao động phổ thông, Tạp vụ</t>
  </si>
  <si>
    <t>ñ/thaùng</t>
  </si>
  <si>
    <t>Baäc</t>
  </si>
  <si>
    <t>3. NV Kinh doanh</t>
  </si>
  <si>
    <t>Lương tối thiểu</t>
  </si>
  <si>
    <t>hệ số lương</t>
  </si>
  <si>
    <t>4. NV văn phòng, NV V.Tư</t>
  </si>
  <si>
    <t>Thành tiền lương CB</t>
  </si>
  <si>
    <t>D.06</t>
  </si>
  <si>
    <t>D.07</t>
  </si>
  <si>
    <t>D.08</t>
  </si>
  <si>
    <t>D.09</t>
  </si>
  <si>
    <t>Tổng thu nhập</t>
  </si>
  <si>
    <t>lương định mức</t>
  </si>
  <si>
    <t>Triệu Minh Tuấn</t>
  </si>
  <si>
    <t>Nguyễn Thanh Lâm</t>
  </si>
  <si>
    <t>Mã CV</t>
  </si>
  <si>
    <t>Đóng gói</t>
  </si>
  <si>
    <t>Bốc xếp</t>
  </si>
  <si>
    <t>Làm vườn rau</t>
  </si>
  <si>
    <t>Tưới cây</t>
  </si>
  <si>
    <t>Lượm rác, đá (xử lý sơ bộ)</t>
  </si>
  <si>
    <t>Dọn vệ sinh</t>
  </si>
  <si>
    <t>Trồng cây</t>
  </si>
  <si>
    <t>Đứng máy xay phân bò</t>
  </si>
  <si>
    <t>Đứng máy T-O</t>
  </si>
  <si>
    <t>Đứng máy xay T-MB</t>
  </si>
  <si>
    <t>Tưới bãi NVL, tưới đường</t>
  </si>
  <si>
    <t>Lái xe xúc</t>
  </si>
  <si>
    <t>Lái xe múc</t>
  </si>
  <si>
    <t>Lái xe ủi</t>
  </si>
  <si>
    <t>Lái xe Ben</t>
  </si>
  <si>
    <t>Lái xe máy xới</t>
  </si>
  <si>
    <t>Bơm nước</t>
  </si>
  <si>
    <t>Xổ tro, phân bò</t>
  </si>
  <si>
    <t>kéo mở, đậy bạt</t>
  </si>
  <si>
    <t>Đóng date, dán nhãn</t>
  </si>
  <si>
    <t>bao 3dm3</t>
  </si>
  <si>
    <t>bao 5dm3</t>
  </si>
  <si>
    <t>bao 10dm3</t>
  </si>
  <si>
    <t>bao 20dm3</t>
  </si>
  <si>
    <t>bao 40dm3</t>
  </si>
  <si>
    <t>bao 50dm3</t>
  </si>
  <si>
    <t>bao 100dm3</t>
  </si>
  <si>
    <t>bao 25kg</t>
  </si>
  <si>
    <t>Danh mục CV</t>
  </si>
  <si>
    <t>Lái xe</t>
  </si>
  <si>
    <t>Đứng máy sản xuất</t>
  </si>
  <si>
    <t>Công việc khác</t>
  </si>
  <si>
    <t>E</t>
  </si>
  <si>
    <t>Số CN/nhóm</t>
  </si>
  <si>
    <t>SLsx/ CN</t>
  </si>
  <si>
    <t>SLsx ngày/nhóm</t>
  </si>
  <si>
    <t>SLsx 26/nhóm</t>
  </si>
  <si>
    <t>đơngiá</t>
  </si>
  <si>
    <t>bao 50kg</t>
  </si>
  <si>
    <t>bao 40kg</t>
  </si>
  <si>
    <t>bao 35kg</t>
  </si>
  <si>
    <t>ĐÓNG GÓI SẢN PHẨM</t>
  </si>
  <si>
    <t>MNV</t>
  </si>
  <si>
    <t>BỐC XẾP SẢN PHẨM</t>
  </si>
  <si>
    <t>CHẠY XE CƠ GIỚI</t>
  </si>
  <si>
    <t>CÔNG VIỆC KHÁC</t>
  </si>
  <si>
    <t>Xử lý bùn</t>
  </si>
  <si>
    <t>Xử lý bùn Bình Hưng</t>
  </si>
  <si>
    <t>Xử lý bùn Bình Hưng Hòa</t>
  </si>
  <si>
    <t>Xử lý bùn Tân Hóa - Lò gốm</t>
  </si>
  <si>
    <t>Xử lý bùn Duy tu</t>
  </si>
  <si>
    <t>LÁI XE CƠ GIỚI</t>
  </si>
  <si>
    <t>ĐỨNG MÁY SẢN XUẤT</t>
  </si>
  <si>
    <t>XỬ LÝ BÙN</t>
  </si>
  <si>
    <t>bao 0,2kg</t>
  </si>
  <si>
    <t>bao 0,5 kg</t>
  </si>
  <si>
    <t>bao 01kg</t>
  </si>
  <si>
    <t>bao 10kg</t>
  </si>
  <si>
    <t>NHẬT KÝ LÀM VIỆC NHÀ MÁY ĐA PHƯỚC</t>
  </si>
  <si>
    <t>Ngày:</t>
  </si>
  <si>
    <t>CÔNG NHÂN CHẠY XE CƠ GiỚI</t>
  </si>
  <si>
    <t>XE 51C-60324</t>
  </si>
  <si>
    <t>XE 51C-9042</t>
  </si>
  <si>
    <t>XE 51C-7000</t>
  </si>
  <si>
    <t>SỐ NGƯỜI LÀM</t>
  </si>
  <si>
    <t>SỐ PHIẾU</t>
  </si>
  <si>
    <t>SỐ XE</t>
  </si>
  <si>
    <t>stt</t>
  </si>
  <si>
    <t>Số PXK</t>
  </si>
  <si>
    <t>HỌ TÊN NHÂN VIÊN</t>
  </si>
  <si>
    <t>làm kho</t>
  </si>
  <si>
    <t>Làm cỏ</t>
  </si>
  <si>
    <t>Bùn Bình Hưng</t>
  </si>
  <si>
    <t>Bùn Bình Hưng Hòa</t>
  </si>
  <si>
    <t>Danh mục xe</t>
  </si>
  <si>
    <t>HÀNG LINH TINH</t>
  </si>
  <si>
    <t>Làm điện</t>
  </si>
  <si>
    <t>Sửa chữa +phụ sửa xe+ sửa máy khác</t>
  </si>
  <si>
    <t>Trần văn Vị Hoàng</t>
  </si>
  <si>
    <t>Trần Văn Bảo</t>
  </si>
  <si>
    <t>Xe ngoài</t>
  </si>
  <si>
    <t>BX-bao 3dm3</t>
  </si>
  <si>
    <t>BX-bao 5dm3</t>
  </si>
  <si>
    <t>BX-bao 10dm3</t>
  </si>
  <si>
    <t>BX-bao 20dm3</t>
  </si>
  <si>
    <t>BX-bao 40dm3</t>
  </si>
  <si>
    <t>BX-bao 50dm3</t>
  </si>
  <si>
    <t>BX-bao 100dm3</t>
  </si>
  <si>
    <t>BX-bao 0,2kg</t>
  </si>
  <si>
    <t>BX-bao 0,5 kg</t>
  </si>
  <si>
    <t>BX-bao 01kg</t>
  </si>
  <si>
    <t>BX-bao 10kg</t>
  </si>
  <si>
    <t>BX-bao 25kg</t>
  </si>
  <si>
    <t>BX-bao 35kg</t>
  </si>
  <si>
    <t>BX-bao 40kg</t>
  </si>
  <si>
    <t>BX-bao 50kg</t>
  </si>
  <si>
    <t>BX-HÀNG LINH TINH</t>
  </si>
  <si>
    <t>SX-bao 3dm3</t>
  </si>
  <si>
    <t>SX-bao 5dm3</t>
  </si>
  <si>
    <t>SX-bao 10dm3</t>
  </si>
  <si>
    <t>SX-bao 20dm3</t>
  </si>
  <si>
    <t>SX-bao 40dm3</t>
  </si>
  <si>
    <t>SX-bao 50dm3</t>
  </si>
  <si>
    <t>SX-bao 100dm3</t>
  </si>
  <si>
    <t>SX-bao 0,2kg</t>
  </si>
  <si>
    <t>SX-bao 0,5 kg</t>
  </si>
  <si>
    <t>SX-bao 01kg</t>
  </si>
  <si>
    <t>SX-bao 10kg</t>
  </si>
  <si>
    <t>SX-bao 25kg</t>
  </si>
  <si>
    <t>SX-bao 35kg</t>
  </si>
  <si>
    <t>SX-bao 40kg</t>
  </si>
  <si>
    <t>SX-bao 50kg</t>
  </si>
  <si>
    <t>Ngày công lv</t>
  </si>
  <si>
    <t>NGÀY LÀM VIỆC TRONG THÁNG</t>
  </si>
  <si>
    <t>lương CB</t>
  </si>
  <si>
    <t>Giờ tăng ca</t>
  </si>
  <si>
    <t>Làm việc CN</t>
  </si>
  <si>
    <t>Phép, LT có lương</t>
  </si>
  <si>
    <t>LV lễ tết</t>
  </si>
  <si>
    <t>KHO</t>
  </si>
  <si>
    <t>Nguyễn Trường Thạch</t>
  </si>
  <si>
    <t>NV kho</t>
  </si>
  <si>
    <t>Thủ kho</t>
  </si>
  <si>
    <t>XE 54N-7311</t>
  </si>
  <si>
    <t>Tưới bãi NVL, tưới đường, Tưới cây</t>
  </si>
  <si>
    <t>Việc linh tinh khác</t>
  </si>
  <si>
    <t>Triệu Minh Tú</t>
  </si>
  <si>
    <t xml:space="preserve">Triệu Bô Na </t>
  </si>
  <si>
    <t>Phụ Cấp thâm niên</t>
  </si>
  <si>
    <t>Phụ cấp chuyên cần</t>
  </si>
  <si>
    <t>Phụ cấp trách nhiệm</t>
  </si>
  <si>
    <t>Phụ cấp công tác</t>
  </si>
  <si>
    <t>Phụ cấp điện thoại</t>
  </si>
  <si>
    <t>Phụ cấp chuyên môn</t>
  </si>
  <si>
    <t>Ngày vào làm việc</t>
  </si>
  <si>
    <t>Số năm vào làm</t>
  </si>
  <si>
    <t>Giờ tăng ca trong tháng</t>
  </si>
  <si>
    <t>Ngày công</t>
  </si>
  <si>
    <t>Nghỉ hưởng lương</t>
  </si>
  <si>
    <t>Ngày LV</t>
  </si>
  <si>
    <t>Lễ tết</t>
  </si>
  <si>
    <t>Phép</t>
  </si>
  <si>
    <t>CN</t>
  </si>
  <si>
    <t>Ngày thường</t>
  </si>
  <si>
    <t>Chủ nhật</t>
  </si>
  <si>
    <t>Giờ làm việc CN</t>
  </si>
  <si>
    <t>Ngày LV lễ tết</t>
  </si>
  <si>
    <t>Ngày phép, LT có lương</t>
  </si>
  <si>
    <t>Nghỉ việc riêng</t>
  </si>
  <si>
    <t>Nghỉ không phép</t>
  </si>
  <si>
    <t>Nghỉ bệnh</t>
  </si>
  <si>
    <t>Trừ không phép</t>
  </si>
  <si>
    <t>Trừ nghỉ VR</t>
  </si>
  <si>
    <t>Trừ nghỉ NB</t>
  </si>
  <si>
    <t xml:space="preserve">Cộng </t>
  </si>
  <si>
    <t>Bùn Bình TH-LG</t>
  </si>
  <si>
    <t>Bùn Duy Tu</t>
  </si>
  <si>
    <t>Thang 9</t>
  </si>
  <si>
    <t>Thang 10</t>
  </si>
  <si>
    <t>Tiêu chí xây dựng bảng lương</t>
  </si>
  <si>
    <t>- Là công cụ để Công ty quản lý năng suất lao động của người Lao động;</t>
  </si>
  <si>
    <t>- Đi gần nhất với luật lao động, mức lương tối thiểu vùng ...;</t>
  </si>
  <si>
    <t>- Bằng cấp chỉ thể hiện mong muốn của người lao động chứ không thể hiện mưc lương và vị trí làm việc;</t>
  </si>
  <si>
    <t>- Người lao động được hưởng đúng mức năng lực, tài năng thể hiện tại Công ty;</t>
  </si>
  <si>
    <t>- Kiểm soát thời gian làm việc của lao động;</t>
  </si>
  <si>
    <t>- Kiểm soát hiệu quả công việc lao động;</t>
  </si>
  <si>
    <t>- Kiểm soát thực hiện kế hoạch của Công ty/lao động;</t>
  </si>
  <si>
    <t>- Người Lao động chủ động phấn đấu cho thu nhập của chính mình;</t>
  </si>
  <si>
    <t>- Thống kê được chính xác hao phí lao động cho từng đầu công việc để tìm ra được phương pháp quản lý, cải tiến, đầu tư hiệu quả.</t>
  </si>
  <si>
    <t>Hệ thống thang bảng lương</t>
  </si>
  <si>
    <t>1. Tổng Giám đốc, Giám đốc</t>
  </si>
  <si>
    <t>- Áp dụng 09 ngạch lương, ký hiệu từ D.01 đến D.09;</t>
  </si>
  <si>
    <t>- Áp dụng 09 bậc lương, ký hiệu từ 1 đến 9;</t>
  </si>
  <si>
    <t>- Áp dụng 08 nhóm chức danh công việc;</t>
  </si>
  <si>
    <t>Bậc</t>
  </si>
  <si>
    <t>- Bước nhảy mỗi bậc lương:</t>
  </si>
  <si>
    <t>+ Ngạch D.05: bước nhảy là 0,2. Hệ số bắt đầu là 1 tương ứng với bậc 1</t>
  </si>
  <si>
    <t>+ Ngạch D.07: bước nhảy là 0,1. Hệ số bắt đầu là 1 tương ứng với bậc 1</t>
  </si>
  <si>
    <t>Thâm niên làm việc</t>
  </si>
  <si>
    <t>- Người lao động nghỉ việc quay lại làm việc thì thâm niên sẽ được tính thời gian làm việc gần nhất;</t>
  </si>
  <si>
    <t>- Mỗi 12 tháng làm việc liên tiếp sẽ được tính thâm niên là 1 năm làm việc;</t>
  </si>
  <si>
    <t>- Mỗi năm làm việc được hưởng 1%</t>
  </si>
  <si>
    <t>Ngày công làm việc</t>
  </si>
  <si>
    <t>- Ngày công làm việc là tổng số ngày trong tháng trừ đi tổng số ngày chủ nhật trong tháng;</t>
  </si>
  <si>
    <t>- Ngày công làm việc được tính trung bình 26 ngày công/tháng (áp dụng cho các thông số tính TB tháng);</t>
  </si>
  <si>
    <t>Giờ làm việc</t>
  </si>
  <si>
    <t>- Giờ tăng ca được tính sau giờ làm việc Công ty quy định;</t>
  </si>
  <si>
    <t>- Tổng số giờ làm việc trong 1 ngày: 8 giờ;</t>
  </si>
  <si>
    <t>- Tính tiền tăng ca:</t>
  </si>
  <si>
    <t>+ Tăng ca ngày thường = số công tăng ca x 1,5 x lương CB hệ số</t>
  </si>
  <si>
    <t>+ Tăng ca ngày chủ nhật = số công tăng ca x 2 x lương CB hệ số</t>
  </si>
  <si>
    <t>+ Tăng ca ngày lễ, tết = số công tăng ca x 3 x lương CB hệ số</t>
  </si>
  <si>
    <t>Phụ Cấp:</t>
  </si>
  <si>
    <t>7.1</t>
  </si>
  <si>
    <t>7.2</t>
  </si>
  <si>
    <t>7.3</t>
  </si>
  <si>
    <t>7.4</t>
  </si>
  <si>
    <t>7.5</t>
  </si>
  <si>
    <t>8.1</t>
  </si>
  <si>
    <t>Số lượng Sản phẩm sản xuất, xử lý trong  tháng nhân đơn giá theo thông báo của Công ty</t>
  </si>
  <si>
    <t>8.2</t>
  </si>
  <si>
    <t>Số giờ chạy xe nhân đơn giá theo thông báo của Công ty</t>
  </si>
  <si>
    <t>8.3</t>
  </si>
  <si>
    <t>Số giờ lao động/công việc được giao nhân đơn giá theo thông báo của Công ty</t>
  </si>
  <si>
    <t>Lương định mức lao động, sản xuất, kinh doanh</t>
  </si>
  <si>
    <t>8.4</t>
  </si>
  <si>
    <t>Sản xuất, Xử lý trực tiếp</t>
  </si>
  <si>
    <t>Chạy xe cơ giới</t>
  </si>
  <si>
    <t>Làm các công việc không thuộc nhóm trên</t>
  </si>
  <si>
    <t>Giao nhân hàng hóa (hàng bán)</t>
  </si>
  <si>
    <t>8.5</t>
  </si>
  <si>
    <t>Bán hàng</t>
  </si>
  <si>
    <t>Tính bằng số tiền thu về x tỉ lệ theo thông báo của Công ty</t>
  </si>
  <si>
    <t>Tính bằng Doanh thu bán hàng x tỉ lệ % (đối với khu vực Tp.HCM và lân cận)</t>
  </si>
  <si>
    <t>Tính bằng Doanh thu bán hàng x tỉ lệ % (đối với giao hàng Sóng thần)</t>
  </si>
  <si>
    <t>8.6</t>
  </si>
  <si>
    <t>Tính bằng số chuyến chạy x đơn giá chuyến theo thông báo của Công ty</t>
  </si>
  <si>
    <t>+ Mức phụ cấp là: 300.000vnđ</t>
  </si>
  <si>
    <t>+ Cách tính:</t>
  </si>
  <si>
    <t>-Nghỉ có phép việc riêng: 01 ngày trừ 50%; đến 02 ngày trừ 75%; đến 03 ngày trừ 100% phụ cấp chuyên cần;</t>
  </si>
  <si>
    <t>-Nghỉ có phép bệnh: 01 ngày trừ 25%; đến 02 ngày trừ 50%; đến 03 ngày trừ 75%; đến 04 ngày trừ 100% phụ cấp chuyên cần;</t>
  </si>
  <si>
    <t>Phụ cấp chuyên cần = (100% - % bị trừ)* mức phụ cấp</t>
  </si>
  <si>
    <t>- Mức độ khó dễ về khả năng chuyên môn;</t>
  </si>
  <si>
    <t>- Mức độ khan hiếm lao động chuyên môn;</t>
  </si>
  <si>
    <t>- không phụ thuộc vào cấp bậc hay vị trí lãnh đạo;</t>
  </si>
  <si>
    <t>- không duy ý chí theo kiểu: không biết là khó mà biết là dễ;</t>
  </si>
  <si>
    <t>+ Lãnh đạo Công ty sẽ trực tiếp đánh giá và đưa ra mức phụ cấp phù hợp</t>
  </si>
  <si>
    <t>- Là công cụ quản lý và quan đánh giá của Công ty cho từng NV;</t>
  </si>
  <si>
    <t>Tiêu chí:   Trả giá đúng về kiến thức chuyên môn của nhân viên Công ty thuê mướn và theo tiêu chí</t>
  </si>
  <si>
    <t>Phụ Cấp trách nhiệm</t>
  </si>
  <si>
    <t>Bảng tham khảo</t>
  </si>
  <si>
    <t>Phụ Cấp công tác</t>
  </si>
  <si>
    <t>Bảng tham khảo CP cố định</t>
  </si>
  <si>
    <t xml:space="preserve"> + Đặc thù từng bộ phận và vị trí sẽ có quy định riêng theo thông báo</t>
  </si>
  <si>
    <t>Phụ Cấp điện thoại</t>
  </si>
  <si>
    <t>Theo phát sinh</t>
  </si>
  <si>
    <t>Theo mức quy định</t>
  </si>
  <si>
    <t>Phụ Cấp đi lại</t>
  </si>
  <si>
    <t>(ĐVT: 1.000đ)</t>
  </si>
  <si>
    <t>Đánh giá mức độ hoàn thành công việc</t>
  </si>
  <si>
    <t>Áp dụng cho các vị trí làm việc chuyên môn, quản lý</t>
  </si>
  <si>
    <t>+ Tính bằng trừ trên tổng thu nhập 20%</t>
  </si>
  <si>
    <t>Tính theo % hoàn thành công việc</t>
  </si>
  <si>
    <t>Tính theo % thực hiện kế hoạch</t>
  </si>
  <si>
    <t>QL Kinh doanh</t>
  </si>
  <si>
    <t>QL Sản xuất</t>
  </si>
  <si>
    <t>NV chuyên môn</t>
  </si>
  <si>
    <r>
      <t xml:space="preserve">" - Để đánh giá được mức độ hoàn thành công việc được giao cần phải có </t>
    </r>
    <r>
      <rPr>
        <b/>
        <sz val="11"/>
        <color theme="1"/>
        <rFont val="Calibri"/>
        <family val="2"/>
        <scheme val="minor"/>
      </rPr>
      <t>tiêu chí đánh giá mức độ hoàn thành công việc</t>
    </r>
    <r>
      <rPr>
        <sz val="11"/>
        <color theme="1"/>
        <rFont val="Calibri"/>
        <family val="2"/>
        <scheme val="minor"/>
      </rPr>
      <t>;</t>
    </r>
  </si>
  <si>
    <t>Quản lý chuyên môn</t>
  </si>
  <si>
    <t>- Phải xây dựng kế hoạch cụ thể</t>
  </si>
  <si>
    <t>- Các phòng ban làm việc theo kế hoạch</t>
  </si>
  <si>
    <t>- Nâng tầm và kiểm soát các Quản lý của Công ty việc lập kế hoạch, giao việc, thực hiện công việc</t>
  </si>
  <si>
    <t>- Đánh giá đúng được khả năng làm việc, quản lý của nhân viên tránh trường hợp đổ lỗi khi không hoàn thành công việc</t>
  </si>
  <si>
    <t xml:space="preserve">- Tạo ra các cuộc đối thoại, giao tiếp trong công việc để người giao việc và người thực hiện được rõ ràng </t>
  </si>
  <si>
    <t>....."</t>
  </si>
  <si>
    <t>NV87</t>
  </si>
  <si>
    <t>NV88</t>
  </si>
  <si>
    <t>NV89</t>
  </si>
  <si>
    <t>NV90</t>
  </si>
  <si>
    <t>Danh Út</t>
  </si>
  <si>
    <t>Danh Dên</t>
  </si>
  <si>
    <t>SL/h</t>
  </si>
  <si>
    <t>3. Lái xe,  K.thuật viên, Ktoán viên.</t>
  </si>
  <si>
    <t>2. kỹ sư, Giám sát.</t>
  </si>
  <si>
    <t>P</t>
  </si>
  <si>
    <t>tháng 8</t>
  </si>
  <si>
    <t>tháng 7</t>
  </si>
  <si>
    <t>tháng 6</t>
  </si>
  <si>
    <t>tháng 5</t>
  </si>
  <si>
    <t>tháng 1</t>
  </si>
  <si>
    <t>tháng 2</t>
  </si>
  <si>
    <t>tháng 3</t>
  </si>
  <si>
    <t>tháng 4</t>
  </si>
  <si>
    <t>Tổng lương phải trả theo bảng lương cũ</t>
  </si>
  <si>
    <t xml:space="preserve">Tổng khối lượng sx </t>
  </si>
  <si>
    <t>Lương trả theo bảng lương mới</t>
  </si>
  <si>
    <t>Nhận xét</t>
  </si>
  <si>
    <t>Bảng lương mới có số bằng số trung bình cộng của 10 tháng trong năm 2015</t>
  </si>
  <si>
    <t>Một số đối tượng làm nhiều có mức lương tăng lên so với bảng lương cũ và so với các đối tượng làm chung</t>
  </si>
  <si>
    <t>So với sản xuất số lượng tương đương tháng trước thì giờ tăng ca ít hơn.</t>
  </si>
  <si>
    <t>-Nghỉ 0,5 ngày công không bị trừ chuyên cần;</t>
  </si>
  <si>
    <t>-Nghỉ không phép: 01 ngày trừ 100% phụ cấp chuyên cần;</t>
  </si>
  <si>
    <t>+ Ngạch D.01: bước nhảy là 0,5. Hệ số bắt đầu là 2 tương ứng với bậc 1</t>
  </si>
  <si>
    <t>+ Ngạch D.02: bước nhảy là 0,4. Hệ số bắt đầu là 2 tương ứng với bậc 1</t>
  </si>
  <si>
    <t>+ Ngạch D.03: bước nhảy là 0,3. Hệ số bắt đầu là 1,7 tương ứng với bậc 1</t>
  </si>
  <si>
    <t>+ Ngạch D.04: bước nhảy là 0,2. Hệ số bắt đầu là 1,5 tương ứng với bậc 1</t>
  </si>
  <si>
    <t>+ Ngạch D.06: bước nhảy là 0,1. Hệ số bắt đầu là 1 tương ứng với bậc 1</t>
  </si>
  <si>
    <t>+ Ngạch D.08: bước nhảy là 0,05. Hệ số bắt đầu là 1 tương ứng với bậc 1</t>
  </si>
  <si>
    <t>+ Ngạch D.09: bước nhảy là 0,05. Hệ số bắt đầu là 1 tương ứng với bậc 1</t>
  </si>
  <si>
    <t>- Áp dụng mức lương tối thiểu vùng 2016 cho khu vực Tp.HCM là 3.484.400vnđ</t>
  </si>
  <si>
    <r>
      <t xml:space="preserve">Công thức tính: </t>
    </r>
    <r>
      <rPr>
        <b/>
        <i/>
        <sz val="11"/>
        <color theme="1"/>
        <rFont val="Calibri"/>
        <family val="2"/>
        <scheme val="minor"/>
      </rPr>
      <t>Phụ cấp thâm niên = lương CB hệ số x số năm làm việc /100</t>
    </r>
  </si>
  <si>
    <t xml:space="preserve">Thành tiền lương CB </t>
  </si>
  <si>
    <t>Lương Định mức</t>
  </si>
  <si>
    <t>lương vượt định mức</t>
  </si>
  <si>
    <t>CÔNG TY TNHH CÔNG NGHỆ SINH HỌC SÀI GÒN XANH</t>
  </si>
  <si>
    <t>Nhà máy Xử lý Bùn thải Sài Gòn Xanh</t>
  </si>
  <si>
    <t>lương CB hệ số</t>
  </si>
  <si>
    <t>Người lập bảng lương</t>
  </si>
  <si>
    <t>NGÔ THỊ PHAN HIỀN</t>
  </si>
  <si>
    <t>Giám Đốc nhà Máy</t>
  </si>
  <si>
    <t>NGUYỄN VĂN THẢO</t>
  </si>
  <si>
    <t>CỘNG</t>
  </si>
  <si>
    <t>Trừ BHXH</t>
  </si>
  <si>
    <t>Trừ tạm ứng</t>
  </si>
  <si>
    <t>Thực lãnh</t>
  </si>
  <si>
    <t>Trần Văn Hà</t>
  </si>
  <si>
    <t>KTV Môi trường</t>
  </si>
  <si>
    <t>THẺ LƯƠNG</t>
  </si>
  <si>
    <t>NV bảo trì</t>
  </si>
  <si>
    <t>QL xe cơ giới</t>
  </si>
  <si>
    <t>Ký Nhận</t>
  </si>
  <si>
    <t>Ký nhận</t>
  </si>
  <si>
    <t>Tổng Cộng</t>
  </si>
  <si>
    <t>Tièn lương dóng BH</t>
  </si>
  <si>
    <t>Tỷ lệ đóng BH</t>
  </si>
  <si>
    <t>BẢNG LƯƠNG THÁNG 11 /2015</t>
  </si>
  <si>
    <t xml:space="preserve">Phụ cấp </t>
  </si>
  <si>
    <t>Phụ cấp khác</t>
  </si>
  <si>
    <t>Phụ Cấp</t>
  </si>
  <si>
    <t>Ngày: 01</t>
  </si>
  <si>
    <t>Lê Quốc Chương</t>
  </si>
  <si>
    <t>Ngô Hoàng Phong</t>
  </si>
  <si>
    <t>Người lập</t>
  </si>
  <si>
    <t>GIÁM ĐỐC NHÀ MÁY</t>
  </si>
  <si>
    <t>Giám Đốc Nhà máy</t>
  </si>
  <si>
    <t>NV93</t>
  </si>
  <si>
    <t>Nguyễn Huỳnh Luân</t>
  </si>
  <si>
    <t>KT Cơ Khí</t>
  </si>
  <si>
    <t>NV94</t>
  </si>
  <si>
    <t>Châu Văn Phước</t>
  </si>
  <si>
    <t>Nguyễn Ngọc Châu</t>
  </si>
  <si>
    <t>Trần Minh Trung</t>
  </si>
  <si>
    <t>NV Nông nghiệp</t>
  </si>
  <si>
    <t>NV92</t>
  </si>
  <si>
    <t>NV91</t>
  </si>
  <si>
    <t>NV97</t>
  </si>
  <si>
    <t>Nguyễn Văn Chiến</t>
  </si>
  <si>
    <t>Nguyễn Thị Thúy Diễm</t>
  </si>
  <si>
    <t>Vũ Thị loan</t>
  </si>
  <si>
    <t>Trần Duy Cương</t>
  </si>
  <si>
    <t>NV Thống kê</t>
  </si>
  <si>
    <t>NV99</t>
  </si>
  <si>
    <t>NV100</t>
  </si>
  <si>
    <t>NV101</t>
  </si>
  <si>
    <t>NV102</t>
  </si>
  <si>
    <t>Châu Tấn Phát</t>
  </si>
  <si>
    <t>NV103</t>
  </si>
  <si>
    <t>Kim Em</t>
  </si>
  <si>
    <t>XE 51C-  72917</t>
  </si>
  <si>
    <t>BẢNG LƯƠNG THÁNG 02 /2016</t>
  </si>
  <si>
    <t>Ngày phép năm</t>
  </si>
  <si>
    <t>Ngày nghỉ lễ tết</t>
  </si>
  <si>
    <t>NV104</t>
  </si>
  <si>
    <t>NV105</t>
  </si>
  <si>
    <t>NV106</t>
  </si>
  <si>
    <t>NV107</t>
  </si>
  <si>
    <t>NV108</t>
  </si>
  <si>
    <t>Nguyễn Thành Vân</t>
  </si>
  <si>
    <t>Nguyễn Thành Tài</t>
  </si>
  <si>
    <t>Nguyễn Thành Long</t>
  </si>
  <si>
    <t>NV109</t>
  </si>
  <si>
    <t>Cao Chánh Dũng</t>
  </si>
  <si>
    <t>Võ Văn Giàu</t>
  </si>
  <si>
    <t>NV110</t>
  </si>
  <si>
    <t>NV111</t>
  </si>
  <si>
    <t>NV112</t>
  </si>
  <si>
    <t>NV113</t>
  </si>
  <si>
    <t>NV114</t>
  </si>
  <si>
    <t>NV115</t>
  </si>
  <si>
    <t>NV116</t>
  </si>
  <si>
    <t>NV117</t>
  </si>
  <si>
    <t>NV118</t>
  </si>
  <si>
    <t>Lê Phi Thành</t>
  </si>
  <si>
    <t>Lê Phi Trung</t>
  </si>
  <si>
    <t>Huỳnh Văn Phương</t>
  </si>
  <si>
    <t>Lâm Văn Thương</t>
  </si>
  <si>
    <t>Trần Minh Hoàng</t>
  </si>
  <si>
    <t>Thạch Phương</t>
  </si>
  <si>
    <t>Nguyễn Văn Rắng</t>
  </si>
  <si>
    <t>Nguyễn Văn Hiền</t>
  </si>
  <si>
    <t>Võ Văn Có</t>
  </si>
  <si>
    <t>NV119</t>
  </si>
  <si>
    <t>NV120</t>
  </si>
  <si>
    <t>Trần Quốc Nam</t>
  </si>
  <si>
    <t>Lê Tấn Thắng</t>
  </si>
  <si>
    <t>NV121</t>
  </si>
  <si>
    <t>Hồ Tuấn Vũ</t>
  </si>
  <si>
    <t>NV122</t>
  </si>
  <si>
    <t>NV123</t>
  </si>
  <si>
    <t>Vũ Sỹ Thương</t>
  </si>
  <si>
    <t>Võ Minh Vũ</t>
  </si>
  <si>
    <t>PHỤ CẤP</t>
  </si>
  <si>
    <t>CÔNG TY TNHH CNSH SÀI GÒN XANH</t>
  </si>
  <si>
    <t>HỆ THỐNG THANG LƯƠNG, BẢNG LƯƠNG</t>
  </si>
  <si>
    <t>I/ MỨC LƯƠNG TỐI THIỂU:</t>
  </si>
  <si>
    <t>Mức lương tối thiểu mà doanh nghiệp đang áp dụng:</t>
  </si>
  <si>
    <t>đồng/tháng</t>
  </si>
  <si>
    <t>II/ HỆ THỐNG THANG LƯƠNG:</t>
  </si>
  <si>
    <t>ĐVT:  đồng</t>
  </si>
  <si>
    <t>1- BẢNG LƯƠNG CHỨC VỤ QUẢN LÝ DOANH NGHIỆP</t>
  </si>
  <si>
    <t>CHỨC DANH CÔNG VIỆC</t>
  </si>
  <si>
    <t>MÃ SỐ</t>
  </si>
  <si>
    <t>BẬC/ HỆ SỐ/ MỨC LƯƠNG</t>
  </si>
  <si>
    <t xml:space="preserve">01- TỔNG GIÁM ĐỐC </t>
  </si>
  <si>
    <t>C.01</t>
  </si>
  <si>
    <t>02- PHÓ TỔNG GIÁM ĐỐC/ GĐ ĐIỀU HÀNH</t>
  </si>
  <si>
    <t>C.02</t>
  </si>
  <si>
    <t>03- KẾ TOÁN TRƯỞNG/ Q.GIÁM ĐỐC / TRƯỞNG BAN</t>
  </si>
  <si>
    <t>C.03</t>
  </si>
  <si>
    <t>2- BẢNG LƯƠNG VIÊN CHỨC CHUYÊN MÔN, THỪA HÀNH, PHỤC VỤ</t>
  </si>
  <si>
    <t>01- CHUYÊN GIA CAO CẤP/ NGHỆ NHÂN</t>
  </si>
  <si>
    <t>02- TRƯỞNG BỘ PHẬN, KẾ TOÁN TỔNG HỢP, CHUYÊN VIÊN</t>
  </si>
  <si>
    <t>03- KẾ TOÁN VIÊN, NV HCNS, THỦ QUỸ, NV KỸ THUẬT ...</t>
  </si>
  <si>
    <t>04- NV KINH DOANH/ SALE ADMIN</t>
  </si>
  <si>
    <t>05- VĂN THƯ, LỄ TÂN</t>
  </si>
  <si>
    <t>3- BẢNG LƯƠNG NHÂN VIÊN TRỰC TIẾP SẢN XUẤT KINH DOANH VÀ PHỤC VỤ</t>
  </si>
  <si>
    <t>01- TỔ TRƯỞNG, NV KHO, GIÁM SÁT NHÀ MÁY</t>
  </si>
  <si>
    <t>B.01</t>
  </si>
  <si>
    <t>02- TÀI XẾ XE CƠ GIỚI, CÔNG NHÂN KT</t>
  </si>
  <si>
    <t>B.02</t>
  </si>
  <si>
    <t>03- TÀI XẾ PHUC VU KINH DOANH</t>
  </si>
  <si>
    <t>B.03</t>
  </si>
  <si>
    <t>04- PHỤ XE CÓ TAY NGHỀ (Lái xe được)</t>
  </si>
  <si>
    <t>B.04</t>
  </si>
  <si>
    <t>05- TẠP VỤ, BẢO VỆ; CÔNG NHÂN SX</t>
  </si>
  <si>
    <t>B.05</t>
  </si>
  <si>
    <t>06- BỐC XẾP, PHỤ XE KINH DOANH</t>
  </si>
  <si>
    <t>B.06</t>
  </si>
  <si>
    <t>VALUE</t>
  </si>
  <si>
    <t>KOBE</t>
  </si>
  <si>
    <t>CŨ</t>
  </si>
  <si>
    <t>lương CB hệ số mới</t>
  </si>
  <si>
    <t>Đơn giá cũ</t>
  </si>
  <si>
    <t>SỐ THÁNG</t>
  </si>
  <si>
    <t>HỆ SỐ</t>
  </si>
  <si>
    <t>3 năm đầu ko tăng, bắt đầu năm thứ 4 sẽ có thâm niên 3%, thêm 1 năm tăng 1%</t>
  </si>
  <si>
    <t>Số tháng thâm niên</t>
  </si>
  <si>
    <t>Hệ số thâm niên</t>
  </si>
  <si>
    <t>Phụ cấp thâm niên MỚI</t>
  </si>
  <si>
    <t>Tổng thu nhập cách MỚI</t>
  </si>
  <si>
    <t>ĐỨNG MÁY SX</t>
  </si>
  <si>
    <r>
      <t xml:space="preserve">Lái xe xúc </t>
    </r>
    <r>
      <rPr>
        <b/>
        <sz val="11"/>
        <color theme="1"/>
        <rFont val="Calibri"/>
        <family val="2"/>
        <scheme val="minor"/>
      </rPr>
      <t>1-1.5m3</t>
    </r>
  </si>
  <si>
    <r>
      <t xml:space="preserve">Lái xe múc </t>
    </r>
    <r>
      <rPr>
        <b/>
        <sz val="11"/>
        <color theme="1"/>
        <rFont val="Calibri"/>
        <family val="2"/>
        <scheme val="minor"/>
      </rPr>
      <t>&lt; 0.5</t>
    </r>
  </si>
  <si>
    <r>
      <t xml:space="preserve">Lái xe ủi </t>
    </r>
    <r>
      <rPr>
        <b/>
        <sz val="11"/>
        <color theme="1"/>
        <rFont val="Calibri"/>
        <family val="2"/>
        <scheme val="minor"/>
      </rPr>
      <t>&lt; D3</t>
    </r>
  </si>
  <si>
    <r>
      <t xml:space="preserve">Lái xe Ben </t>
    </r>
    <r>
      <rPr>
        <b/>
        <sz val="11"/>
        <color theme="1"/>
        <rFont val="Calibri"/>
        <family val="2"/>
        <scheme val="minor"/>
      </rPr>
      <t>&lt; 5tấn</t>
    </r>
  </si>
  <si>
    <r>
      <t xml:space="preserve">Lái xe máy cày </t>
    </r>
    <r>
      <rPr>
        <b/>
        <sz val="11"/>
        <color theme="1"/>
        <rFont val="Calibri"/>
        <family val="2"/>
        <scheme val="minor"/>
      </rPr>
      <t>&lt;</t>
    </r>
  </si>
  <si>
    <r>
      <t xml:space="preserve">Lái xe máy xới </t>
    </r>
    <r>
      <rPr>
        <b/>
        <sz val="11"/>
        <color theme="1"/>
        <rFont val="Calibri"/>
        <family val="2"/>
        <scheme val="minor"/>
      </rPr>
      <t>&lt;</t>
    </r>
  </si>
  <si>
    <r>
      <t xml:space="preserve">Lái xe ủi </t>
    </r>
    <r>
      <rPr>
        <b/>
        <sz val="11"/>
        <color theme="1"/>
        <rFont val="Calibri"/>
        <family val="2"/>
        <scheme val="minor"/>
      </rPr>
      <t>&gt; D3</t>
    </r>
  </si>
  <si>
    <r>
      <t xml:space="preserve">Lái xe Ben </t>
    </r>
    <r>
      <rPr>
        <b/>
        <sz val="11"/>
        <color theme="1"/>
        <rFont val="Calibri"/>
        <family val="2"/>
        <scheme val="minor"/>
      </rPr>
      <t>&gt; 5tấn</t>
    </r>
  </si>
  <si>
    <r>
      <t>Lái xe máy xới</t>
    </r>
    <r>
      <rPr>
        <b/>
        <sz val="11"/>
        <color theme="1"/>
        <rFont val="Calibri"/>
        <family val="2"/>
        <scheme val="minor"/>
      </rPr>
      <t xml:space="preserve"> &gt;</t>
    </r>
  </si>
  <si>
    <r>
      <t>Lái xe múc</t>
    </r>
    <r>
      <rPr>
        <b/>
        <sz val="11"/>
        <color theme="1"/>
        <rFont val="Calibri"/>
        <family val="2"/>
        <scheme val="minor"/>
      </rPr>
      <t xml:space="preserve">  0.5 - 1.2</t>
    </r>
  </si>
  <si>
    <r>
      <t xml:space="preserve">Lái xe xúc </t>
    </r>
    <r>
      <rPr>
        <b/>
        <sz val="11"/>
        <color theme="1"/>
        <rFont val="Calibri"/>
        <family val="2"/>
        <scheme val="minor"/>
      </rPr>
      <t>&gt; 1.5m3</t>
    </r>
  </si>
  <si>
    <r>
      <t xml:space="preserve">Lái xe múc </t>
    </r>
    <r>
      <rPr>
        <b/>
        <sz val="11"/>
        <color theme="1"/>
        <rFont val="Calibri"/>
        <family val="2"/>
        <scheme val="minor"/>
      </rPr>
      <t>&gt; 1.2</t>
    </r>
  </si>
  <si>
    <t>TỔNG PHỤ CẤP MỚI</t>
  </si>
  <si>
    <t>Lương đóng BHXH</t>
  </si>
  <si>
    <t>Đơn giá mới</t>
  </si>
  <si>
    <t>% thâm niên</t>
  </si>
  <si>
    <t>Thực lãnh
( Tròn Số )</t>
  </si>
  <si>
    <t>Trần Văn Phi</t>
  </si>
  <si>
    <t>Lê Văn Triệu</t>
  </si>
  <si>
    <t>Đồng Tấn Tài</t>
  </si>
  <si>
    <t>Tổng Giám đốc</t>
  </si>
  <si>
    <t>HỌ TÊN</t>
  </si>
  <si>
    <t>NĂM 2016</t>
  </si>
  <si>
    <t>Ngày vào</t>
  </si>
  <si>
    <t>Thưởng Lễ</t>
  </si>
  <si>
    <t>Trần Văn Trung</t>
  </si>
  <si>
    <t>Cơm KD</t>
  </si>
  <si>
    <t>Cơm SX</t>
  </si>
  <si>
    <t>Tiền cơm 
( SX )</t>
  </si>
  <si>
    <t>Tiền cơm (KD )</t>
  </si>
  <si>
    <t>Tiền cơm (SX)</t>
  </si>
  <si>
    <t>Lê Minh Trọng</t>
  </si>
  <si>
    <t>Sơn Hoàng Minh</t>
  </si>
  <si>
    <t>Trần Văn Tây</t>
  </si>
  <si>
    <t>Phan Lâm Thương</t>
  </si>
  <si>
    <t>Công nhân  (TX )</t>
  </si>
  <si>
    <t>Lê Minh Nghĩa</t>
  </si>
  <si>
    <t>XE 51C-83149</t>
  </si>
  <si>
    <t>XE 51C-9356</t>
  </si>
  <si>
    <t>Bùi Vương Ly Ly</t>
  </si>
  <si>
    <t>Tổng cộng</t>
  </si>
  <si>
    <t>Danh Thủy</t>
  </si>
  <si>
    <t>TỒNG
2016</t>
  </si>
  <si>
    <t>01/03/2015</t>
  </si>
  <si>
    <t>05/09/2016</t>
  </si>
  <si>
    <t>Trần Văn Nguyện</t>
  </si>
  <si>
    <t>01/06/2016</t>
  </si>
  <si>
    <t>07/06/2016</t>
  </si>
  <si>
    <t>08/06/2016</t>
  </si>
  <si>
    <t xml:space="preserve"> TĂNG CA TỪ 3 TIẾNG TRỞ LÊN MỚI TÍNH 1 SUẤT CƠM
 BỐC HÀNG XE KINH DOANH ĐIỀN VÀO CỘT CƠM KD, CÒN LẠI THÌ ĐIỀN VÀO CƠM SX</t>
  </si>
  <si>
    <t>NGUYỄN VĂN BẢY</t>
  </si>
  <si>
    <t>KẾ HOẠCH XỬ LÝ</t>
  </si>
  <si>
    <t>TÀI XẾ</t>
  </si>
  <si>
    <t>Triệu Minh Tú</t>
  </si>
  <si>
    <t>VỆ SINH TƯỚI ĐƯỜNG</t>
  </si>
  <si>
    <t>TRUNG TÂM NC</t>
  </si>
  <si>
    <t>TTNC</t>
  </si>
  <si>
    <t>TRUNG TÂM NGHIÊN CỨU</t>
  </si>
  <si>
    <t>Lâm Bal</t>
  </si>
  <si>
    <t>Nguyễn Thế Lực</t>
  </si>
  <si>
    <t>Huỳnh Huy Phụng</t>
  </si>
  <si>
    <t>NĂM 2017</t>
  </si>
  <si>
    <t>TỒNG
2017</t>
  </si>
  <si>
    <t>Võ Quang Tuấn</t>
  </si>
  <si>
    <t>Lương Minh Tâm</t>
  </si>
  <si>
    <t>Danh Vươl</t>
  </si>
  <si>
    <t>GĐ.TTNC</t>
  </si>
  <si>
    <t>Mai Thanh Điền</t>
  </si>
  <si>
    <t>Trần Tấn Hoàng</t>
  </si>
  <si>
    <t>Nguyễn Bình Luận</t>
  </si>
  <si>
    <t>Thái Minh Tân</t>
  </si>
  <si>
    <t>Nguyễn Thanh Sang</t>
  </si>
  <si>
    <t>Nguyễn Hữu Tài</t>
  </si>
  <si>
    <t>Hà Thanh Truyền</t>
  </si>
  <si>
    <t>Nguyễn Tấn Lộc</t>
  </si>
  <si>
    <t>Lương Minh Hòa</t>
  </si>
  <si>
    <t>Lê Thành Tín</t>
  </si>
  <si>
    <t>Đổng Ngọc Trung</t>
  </si>
  <si>
    <t>LÊ THANH HUY</t>
  </si>
  <si>
    <t>Trần văn Nguyện</t>
  </si>
  <si>
    <t>Lái xe múc (Xe Kobel)</t>
  </si>
  <si>
    <t>Nguyễn Tiến Khanh</t>
  </si>
  <si>
    <t>Cao Thị Minh Thoa</t>
  </si>
  <si>
    <t xml:space="preserve"> </t>
  </si>
  <si>
    <t xml:space="preserve">TỔNG CỘNG: </t>
  </si>
  <si>
    <t>NGƯỜI LẬP</t>
  </si>
  <si>
    <t>Nguyễn Thị Thu Sương</t>
  </si>
  <si>
    <t>Nguyễn Hữu Tài - Kho</t>
  </si>
  <si>
    <t>TỒNG
2018</t>
  </si>
  <si>
    <t>NĂM 2018</t>
  </si>
  <si>
    <t>Phan Văn Bạn</t>
  </si>
  <si>
    <t>Nguyễn Văn Lâm</t>
  </si>
  <si>
    <t>Nguyễn Văn Mèo</t>
  </si>
  <si>
    <t>Công nhân</t>
  </si>
  <si>
    <t>VẬN HÀNH MÁY</t>
  </si>
  <si>
    <t>Lê Văn Bi</t>
  </si>
  <si>
    <t>Tạ Chí Thuận</t>
  </si>
  <si>
    <t>Lê Hiệp</t>
  </si>
  <si>
    <t>Lê Tấn Tiền</t>
  </si>
  <si>
    <t>Phạm Hồng Chương</t>
  </si>
  <si>
    <t>Nguyễn Thanh Vạn</t>
  </si>
  <si>
    <t>Thạch Phiên</t>
  </si>
  <si>
    <t>Trần Anh Dũ</t>
  </si>
  <si>
    <t>GIÁM ĐỐC BỘ PHẬN</t>
  </si>
  <si>
    <t>Châu Văn Tâm</t>
  </si>
  <si>
    <t>Trần Ngọc Sơn</t>
  </si>
  <si>
    <t>Cao Văn Lượm</t>
  </si>
  <si>
    <t>Nguyễn Văn Đức</t>
  </si>
  <si>
    <t>Nguyễn Đăng Khoa</t>
  </si>
  <si>
    <t>Ứng lương</t>
  </si>
  <si>
    <t>CƠ GIỚI - CƠ KHÍ</t>
  </si>
  <si>
    <t>Tổ trưởng bảo trì cơ điện</t>
  </si>
  <si>
    <t>Tổ phó bảo trì</t>
  </si>
  <si>
    <t>Nhân viên bảo trì cơ khí</t>
  </si>
  <si>
    <t>Tổ trưởng Điện - Cơ điện</t>
  </si>
  <si>
    <t>Nhân viên Điện - Cơ điện</t>
  </si>
  <si>
    <t>Bình Hưng</t>
  </si>
  <si>
    <t>VH máy sàngTân Hóa</t>
  </si>
  <si>
    <t>VH máy ĐS &amp; PB</t>
  </si>
  <si>
    <t>AN NINH</t>
  </si>
  <si>
    <t>Đặng Văn Thông</t>
  </si>
  <si>
    <t>Trưởng BP An Ninh</t>
  </si>
  <si>
    <t>GS Vườn rau</t>
  </si>
  <si>
    <t>KỸ THUẬT</t>
  </si>
  <si>
    <t>VH máy duy tu</t>
  </si>
  <si>
    <t>Lái xe nâng</t>
  </si>
  <si>
    <t>Vận hành xe xúc BH</t>
  </si>
  <si>
    <t>Nguyễn Thành Luân</t>
  </si>
  <si>
    <t>CV bảo trì cơ khí, cơ giới</t>
  </si>
  <si>
    <t>Nguyễn Công Thuận</t>
  </si>
  <si>
    <t>Nguyễn Lê Tân</t>
  </si>
  <si>
    <t>Tổ trưởng VHM XLB</t>
  </si>
  <si>
    <t>Đội trưởng VHM XLB</t>
  </si>
  <si>
    <t>Tổ trưởng CN Xổ bao bùn</t>
  </si>
  <si>
    <t>VHM</t>
  </si>
  <si>
    <t>VỆ SINH - MÔI TRƯỜNG</t>
  </si>
  <si>
    <t>Trường BP GS Môi trường</t>
  </si>
  <si>
    <t>Lê Ngọc Đức</t>
  </si>
  <si>
    <t>Bùi Văn Ây</t>
  </si>
  <si>
    <t>Đội trưởng XLB</t>
  </si>
  <si>
    <t>QGĐ. HCNS</t>
  </si>
  <si>
    <t>QGĐ.TCKT</t>
  </si>
  <si>
    <t>NGUYỄN ĐỖ QUỲNH PHƯƠNG</t>
  </si>
  <si>
    <t>TỒNG
2019</t>
  </si>
  <si>
    <t>TB ATLĐ</t>
  </si>
  <si>
    <t>Nhà máy</t>
  </si>
  <si>
    <t>Đặng Hải Bằng</t>
  </si>
  <si>
    <t>Nguyễn Tuấn Vinh</t>
  </si>
  <si>
    <t>Dương Tấn Đạt</t>
  </si>
  <si>
    <t>Lê Nhật Trường Giang</t>
  </si>
  <si>
    <t>Trần Thanh Nguyên</t>
  </si>
  <si>
    <t>Thưởng lễ, tết</t>
  </si>
  <si>
    <t>Đinh Thanh Trí</t>
  </si>
  <si>
    <t>Nhân viên VH Trạm XLNT</t>
  </si>
  <si>
    <t>NCUD</t>
  </si>
  <si>
    <t>Đào Ngọc Long</t>
  </si>
  <si>
    <t>Nguyễn Ngọc Đông</t>
  </si>
  <si>
    <t>Nguyễn Trung Hậu</t>
  </si>
  <si>
    <t>Trưởng BP KHSX</t>
  </si>
  <si>
    <t>Trưởng BP Cơ giới</t>
  </si>
  <si>
    <t>Trưởng BP QC</t>
  </si>
  <si>
    <t>Nhân viên QC inline</t>
  </si>
  <si>
    <t>Tổ trưởng xe cơ giới</t>
  </si>
  <si>
    <t>XDCB</t>
  </si>
  <si>
    <t>SẢN XUẤT</t>
  </si>
  <si>
    <t>Nguyễn Minh Hoàn</t>
  </si>
  <si>
    <t>Ngô Hoàng Oanh</t>
  </si>
  <si>
    <t>Trần Văn Mơ</t>
  </si>
  <si>
    <t>Nguyễn Đức Hân</t>
  </si>
  <si>
    <t>Thủ kho Thành phẩm</t>
  </si>
  <si>
    <t>Nhân viên kho</t>
  </si>
  <si>
    <t>Phụ Kho</t>
  </si>
  <si>
    <t>Thống kê số liệu</t>
  </si>
  <si>
    <t>Nhân viên Kho</t>
  </si>
  <si>
    <t>Thủ kho NVL</t>
  </si>
  <si>
    <t>Nhân viên Trạm cân</t>
  </si>
  <si>
    <t>Lê Thị Duyên</t>
  </si>
  <si>
    <t>Trần Minh Tâm</t>
  </si>
  <si>
    <t>Nguyễn Hữu Thái</t>
  </si>
  <si>
    <t>Nhân viên thống kê</t>
  </si>
  <si>
    <t>Trưởng phòng Quản trị sản xuất</t>
  </si>
  <si>
    <t>QUẢN TRỊ SẢN XUẤT</t>
  </si>
  <si>
    <t>THỐNG KÊ</t>
  </si>
  <si>
    <t>Thạch Ngọc Thắng</t>
  </si>
  <si>
    <t>Thạch Ngọc Tiến</t>
  </si>
  <si>
    <t>Đặng Văn Luân</t>
  </si>
  <si>
    <t>Thủ kho Bùn</t>
  </si>
  <si>
    <t>Nguyễn Thành Khương</t>
  </si>
  <si>
    <t>Nguyễn Duy Kha</t>
  </si>
  <si>
    <t>Chuyên viên Kỹ thuật cải tiến</t>
  </si>
  <si>
    <t>Nhân viên Thiết kế máy</t>
  </si>
  <si>
    <t>CẢI TIẾN - THIẾT KẾ MÁY</t>
  </si>
  <si>
    <t>THEO DÕI PHÉP NĂM NHÀ MÁY XLBT SÀI CÒN XANH</t>
  </si>
  <si>
    <t>NCKH</t>
  </si>
  <si>
    <t>Nguyễn Trần Duy Anh</t>
  </si>
  <si>
    <t>Nguyễn Duy Long</t>
  </si>
  <si>
    <t>Chau Ri Na</t>
  </si>
  <si>
    <t>Che Thanh Thân</t>
  </si>
  <si>
    <t>Trưởng BP Thiết kế Kỹ thuật</t>
  </si>
  <si>
    <t>Trưởng BP Giám sát Kỹ thuật</t>
  </si>
  <si>
    <t>Nhân viên thiết kế</t>
  </si>
  <si>
    <t>Nhân viên KCS</t>
  </si>
  <si>
    <t>Chuyên viên GS Kỹ thuật</t>
  </si>
  <si>
    <t>Lương Trường Giang</t>
  </si>
  <si>
    <t>Bùi Trọng Nghĩa</t>
  </si>
  <si>
    <t>Danh Ngòi</t>
  </si>
  <si>
    <t>Phan Thanh Minh</t>
  </si>
  <si>
    <t>Nguyễn Thanh Hùng</t>
  </si>
  <si>
    <t>Nguyễn Đình Tâm</t>
  </si>
  <si>
    <t>Lê Đình Tiến</t>
  </si>
  <si>
    <t>Đỗ Sỹ Long</t>
  </si>
  <si>
    <t>Phạm Thành Nhân</t>
  </si>
  <si>
    <t>Tr BP Thống kê</t>
  </si>
  <si>
    <t>HCNS</t>
  </si>
  <si>
    <t>Phùng Nhật Nam</t>
  </si>
  <si>
    <t>Tiền trừ nhầm BHXH tháng 6</t>
  </si>
  <si>
    <t>Cộng tiền trừ nhầm tháng trước</t>
  </si>
  <si>
    <t>BẢNG CHẤM CÔNG NGOÀI GIỜ THÁNG 08/2019</t>
  </si>
  <si>
    <t>Biogas</t>
  </si>
  <si>
    <t>DANH SÁCH ỨNG LƯƠNG T08/2019</t>
  </si>
  <si>
    <t>Lê Minh Đức Thịnh</t>
  </si>
  <si>
    <t>Trưởng ban XDCB</t>
  </si>
  <si>
    <t>Đỗ Hoàng Dũng</t>
  </si>
  <si>
    <t>Nhân viên điều phối đơn hàng</t>
  </si>
  <si>
    <t>P.TGĐ</t>
  </si>
  <si>
    <t>KH - VT</t>
  </si>
  <si>
    <t>Chuyên viên thu mua</t>
  </si>
  <si>
    <t>Phan Hồng Chương</t>
  </si>
  <si>
    <t>Tổ trưởng Vệ sinh</t>
  </si>
  <si>
    <t>Nguyễn Văn Chương</t>
  </si>
  <si>
    <t>Bùi Trong Nghĩa</t>
  </si>
  <si>
    <t>Bùi Văn Ấy</t>
  </si>
  <si>
    <t>LT</t>
  </si>
  <si>
    <t>NGUYỄN THỊ HỒNG ÁNH</t>
  </si>
  <si>
    <t>BẢNG CÔNG NHÀ MÁY SGX THÁNG 09 NĂM 2019</t>
  </si>
  <si>
    <t>Cuốc</t>
  </si>
  <si>
    <t>= sum (( lương cb+phụ cấp))/(ngày làm việc qd*giờ làm vc qd))*số giờ ca đêm*30%</t>
  </si>
  <si>
    <t>Tiền phụ cấp cơm ca 2</t>
  </si>
  <si>
    <t>BẢNG LƯƠNG THÁNG 09/2019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</si>
</sst>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\ _₫_-;\-* #,##0.00\ _₫_-;_-* &quot;-&quot;??\ _₫_-;_-@_-"/>
    <numFmt numFmtId="165" formatCode="_(* #,##0.0_);_(* \(#,##0.0\);_(* &quot;-&quot;??_);_(@_)"/>
    <numFmt numFmtId="166" formatCode="_(* #,##0_);_(* \(#,##0\);_(* &quot;-&quot;??_);_(@_)"/>
    <numFmt numFmtId="167" formatCode="#,##0.000;\-#,##0.000"/>
    <numFmt numFmtId="168" formatCode="#,##0;\-#,##0"/>
    <numFmt numFmtId="169" formatCode="_(* #,##0.000_);_(* \(#,##0.000\);_(* &quot;-&quot;??_);_(@_)"/>
    <numFmt numFmtId="170" formatCode="_(* #,##0.0000_);_(* \(#,##0.0000\);_(* &quot;-&quot;??_);_(@_)"/>
    <numFmt numFmtId="171" formatCode="_(* #,##0.00000000_);_(* \(#,##0.00000000\);_(* &quot;-&quot;??_);_(@_)"/>
    <numFmt numFmtId="172" formatCode="_(* #,##0.00000_);_(* \(#,##0.00000\);_(* &quot;-&quot;??_);_(@_)"/>
    <numFmt numFmtId="173" formatCode="_-* #,##0\ _₫_-;\-* #,##0\ _₫_-;_-* &quot;-&quot;??\ _₫_-;_-@_-"/>
    <numFmt numFmtId="174" formatCode="_-* #,##0.000\ _₫_-;\-* #,##0.000\ _₫_-;_-* &quot;-&quot;???\ _₫_-;_-@_-"/>
    <numFmt numFmtId="175" formatCode="0.0"/>
    <numFmt numFmtId="176" formatCode="#,##0.0"/>
    <numFmt numFmtId="177" formatCode="_(* #,##0.0_);_(* \(#,##0.0\);_(* &quot;-&quot;?_);_(@_)"/>
  </numFmts>
  <fonts count="9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0"/>
      <name val="VNI-Times"/>
    </font>
    <font>
      <b/>
      <sz val="9"/>
      <name val="Tahoma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sz val="9"/>
      <name val="Tahoma"/>
      <family val="2"/>
    </font>
    <font>
      <b/>
      <sz val="11"/>
      <name val="Tahoma"/>
      <family val="2"/>
    </font>
    <font>
      <b/>
      <sz val="10"/>
      <name val="Tahoma"/>
      <family val="2"/>
    </font>
    <font>
      <b/>
      <sz val="10"/>
      <color theme="1"/>
      <name val="Tahoma"/>
      <family val="2"/>
    </font>
    <font>
      <b/>
      <sz val="10"/>
      <name val="VNI-Aptima"/>
    </font>
    <font>
      <sz val="10"/>
      <name val="Tahoma"/>
      <family val="2"/>
    </font>
    <font>
      <i/>
      <sz val="10"/>
      <name val="VNI-Aptima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Tahoma"/>
      <family val="2"/>
    </font>
    <font>
      <sz val="8"/>
      <color theme="1"/>
      <name val="Tahoma"/>
      <family val="2"/>
    </font>
    <font>
      <b/>
      <sz val="10"/>
      <color theme="3" tint="-0.499984740745262"/>
      <name val="Tahoma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Tahoma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name val="Tahoma"/>
      <family val="2"/>
    </font>
    <font>
      <sz val="11"/>
      <color rgb="FFC00000"/>
      <name val="Calibri"/>
      <family val="2"/>
      <scheme val="minor"/>
    </font>
    <font>
      <sz val="9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9"/>
      <color rgb="FFC00000"/>
      <name val="Tahoma"/>
      <family val="2"/>
    </font>
    <font>
      <sz val="9"/>
      <name val="VNI-Helve-Condense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VNI-Times"/>
    </font>
    <font>
      <sz val="11"/>
      <name val="Tahoma"/>
      <family val="2"/>
    </font>
    <font>
      <b/>
      <sz val="11"/>
      <color rgb="FFFF0000"/>
      <name val="Calibri"/>
      <family val="2"/>
      <scheme val="minor"/>
    </font>
    <font>
      <b/>
      <sz val="9"/>
      <color theme="0"/>
      <name val="Tahoma"/>
      <family val="2"/>
    </font>
    <font>
      <b/>
      <sz val="16"/>
      <color theme="1"/>
      <name val="Tahoma"/>
      <family val="2"/>
    </font>
    <font>
      <b/>
      <sz val="9"/>
      <color rgb="FFC00000"/>
      <name val="Tahoma"/>
      <family val="2"/>
    </font>
    <font>
      <b/>
      <sz val="11"/>
      <color rgb="FFC00000"/>
      <name val="Tahoma"/>
      <family val="2"/>
    </font>
    <font>
      <b/>
      <sz val="9"/>
      <color rgb="FFC00000"/>
      <name val="VNI-Helve-Condense"/>
    </font>
    <font>
      <sz val="11"/>
      <color rgb="FFC00000"/>
      <name val="Tahoma"/>
      <family val="2"/>
    </font>
    <font>
      <sz val="10"/>
      <color indexed="8"/>
      <name val="Arial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9"/>
      <color rgb="FFFF0000"/>
      <name val="Tahoma"/>
      <family val="2"/>
    </font>
    <font>
      <b/>
      <sz val="16"/>
      <name val="Tahoma"/>
      <family val="2"/>
    </font>
    <font>
      <b/>
      <sz val="9"/>
      <name val="VNI-Helve-Condense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sz val="9"/>
      <color theme="1"/>
      <name val="Times New Roman"/>
      <family val="1"/>
    </font>
    <font>
      <sz val="11"/>
      <color theme="0"/>
      <name val="Tahoma"/>
      <family val="2"/>
    </font>
    <font>
      <b/>
      <sz val="16"/>
      <name val="Times New Roman"/>
      <family val="1"/>
    </font>
    <font>
      <sz val="10"/>
      <name val="Times New Roman"/>
      <family val="1"/>
    </font>
    <font>
      <b/>
      <sz val="20"/>
      <name val="Times New Roman"/>
      <family val="1"/>
    </font>
    <font>
      <b/>
      <sz val="12"/>
      <name val="Times New Roman"/>
      <family val="1"/>
    </font>
    <font>
      <b/>
      <u/>
      <sz val="11"/>
      <name val="Times New Roman"/>
      <family val="1"/>
    </font>
    <font>
      <b/>
      <sz val="10"/>
      <color rgb="FFFF0000"/>
      <name val="Times New Roman"/>
      <family val="1"/>
    </font>
    <font>
      <sz val="11"/>
      <color rgb="FFFF0000"/>
      <name val="Tahoma"/>
      <family val="2"/>
    </font>
    <font>
      <sz val="11"/>
      <name val="Times New Roman"/>
      <family val="1"/>
    </font>
    <font>
      <sz val="11"/>
      <color indexed="8"/>
      <name val="VNI-Times"/>
    </font>
    <font>
      <sz val="11"/>
      <color indexed="8"/>
      <name val="Calibri"/>
      <family val="2"/>
      <charset val="163"/>
    </font>
    <font>
      <b/>
      <sz val="9"/>
      <color theme="1"/>
      <name val="Tahoma"/>
      <family val="2"/>
    </font>
    <font>
      <sz val="12"/>
      <name val="Times New Roman"/>
      <family val="1"/>
    </font>
    <font>
      <b/>
      <sz val="8"/>
      <name val="Times New Roman"/>
      <family val="1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Tahoma"/>
      <family val="2"/>
    </font>
    <font>
      <b/>
      <sz val="11"/>
      <name val="Times New Roman"/>
      <family val="1"/>
    </font>
    <font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FF0000"/>
      <name val="Times New Roman"/>
      <family val="1"/>
    </font>
    <font>
      <b/>
      <sz val="18"/>
      <name val="Times New Roman"/>
      <family val="1"/>
    </font>
    <font>
      <b/>
      <sz val="9"/>
      <name val="Calibri"/>
      <family val="2"/>
      <scheme val="minor"/>
    </font>
    <font>
      <sz val="12"/>
      <name val="VNI-Aptima"/>
    </font>
    <font>
      <sz val="12"/>
      <name val="VNI-Times"/>
    </font>
    <font>
      <sz val="10"/>
      <name val="Calibri"/>
      <family val="2"/>
      <scheme val="minor"/>
    </font>
    <font>
      <sz val="10"/>
      <color theme="1"/>
      <name val="Times New Roman"/>
      <family val="1"/>
    </font>
    <font>
      <b/>
      <sz val="12"/>
      <color rgb="FFFF0000"/>
      <name val="Times New Roman"/>
      <family val="1"/>
    </font>
    <font>
      <sz val="11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92D050"/>
      <name val="Times New Roman"/>
      <family val="1"/>
    </font>
    <font>
      <b/>
      <sz val="18"/>
      <name val="Tahoma"/>
      <family val="2"/>
    </font>
    <font>
      <b/>
      <sz val="11"/>
      <color theme="1"/>
      <name val="Times New Roman"/>
      <family val="1"/>
    </font>
    <font>
      <sz val="8"/>
      <color rgb="FFFF0000"/>
      <name val="Tahoma"/>
      <family val="2"/>
    </font>
    <font>
      <sz val="11"/>
      <color rgb="FFFF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D3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0"/>
        <bgColor indexed="60"/>
      </patternFill>
    </fill>
    <fill>
      <patternFill patternType="solid">
        <fgColor indexed="9"/>
        <bgColor indexed="26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8"/>
      </left>
      <right style="thin">
        <color indexed="58"/>
      </right>
      <top style="hair">
        <color indexed="58"/>
      </top>
      <bottom style="hair">
        <color indexed="5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hair">
        <color indexed="64"/>
      </bottom>
      <diagonal/>
    </border>
    <border>
      <left style="dotted">
        <color indexed="64"/>
      </left>
      <right style="thin">
        <color indexed="64"/>
      </right>
      <top/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/>
      <diagonal/>
    </border>
    <border>
      <left style="dotted">
        <color indexed="64"/>
      </left>
      <right style="thin">
        <color indexed="64"/>
      </right>
      <top style="hair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/>
      <top/>
      <bottom style="hair">
        <color indexed="64"/>
      </bottom>
      <diagonal/>
    </border>
    <border>
      <left style="dotted">
        <color indexed="64"/>
      </left>
      <right/>
      <top style="hair">
        <color indexed="64"/>
      </top>
      <bottom style="hair">
        <color indexed="64"/>
      </bottom>
      <diagonal/>
    </border>
    <border>
      <left style="dotted">
        <color indexed="64"/>
      </left>
      <right/>
      <top style="hair">
        <color indexed="64"/>
      </top>
      <bottom/>
      <diagonal/>
    </border>
    <border>
      <left style="dotted">
        <color indexed="64"/>
      </left>
      <right/>
      <top style="hair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1">
    <xf numFmtId="0" fontId="0" fillId="0" borderId="0"/>
    <xf numFmtId="43" fontId="2" fillId="0" borderId="0" applyFont="0" applyFill="0" applyBorder="0" applyAlignment="0" applyProtection="0"/>
    <xf numFmtId="0" fontId="3" fillId="0" borderId="0"/>
    <xf numFmtId="9" fontId="2" fillId="0" borderId="0" applyFont="0" applyFill="0" applyBorder="0" applyAlignment="0" applyProtection="0"/>
    <xf numFmtId="0" fontId="1" fillId="0" borderId="0"/>
    <xf numFmtId="9" fontId="3" fillId="0" borderId="0" applyFont="0" applyFill="0" applyBorder="0" applyAlignment="0" applyProtection="0"/>
    <xf numFmtId="164" fontId="65" fillId="0" borderId="0" applyFont="0" applyFill="0" applyBorder="0" applyAlignment="0" applyProtection="0"/>
    <xf numFmtId="0" fontId="80" fillId="0" borderId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4" fontId="80" fillId="0" borderId="0" applyFont="0" applyFill="0" applyBorder="0" applyAlignment="0" applyProtection="0"/>
    <xf numFmtId="44" fontId="80" fillId="0" borderId="0" applyFont="0" applyFill="0" applyBorder="0" applyAlignment="0" applyProtection="0"/>
    <xf numFmtId="0" fontId="80" fillId="0" borderId="0"/>
    <xf numFmtId="0" fontId="80" fillId="0" borderId="0"/>
    <xf numFmtId="0" fontId="80" fillId="0" borderId="0"/>
    <xf numFmtId="0" fontId="81" fillId="0" borderId="0"/>
    <xf numFmtId="0" fontId="80" fillId="0" borderId="0"/>
    <xf numFmtId="43" fontId="3" fillId="0" borderId="0" applyFont="0" applyFill="0" applyBorder="0" applyAlignment="0" applyProtection="0"/>
    <xf numFmtId="0" fontId="3" fillId="0" borderId="0"/>
  </cellStyleXfs>
  <cellXfs count="1085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4" xfId="2" applyFont="1" applyFill="1" applyBorder="1" applyAlignment="1" applyProtection="1">
      <alignment vertical="center" wrapText="1"/>
    </xf>
    <xf numFmtId="0" fontId="9" fillId="0" borderId="4" xfId="2" applyFont="1" applyFill="1" applyBorder="1" applyAlignment="1" applyProtection="1">
      <alignment horizontal="center" vertical="center" wrapText="1"/>
    </xf>
    <xf numFmtId="0" fontId="10" fillId="0" borderId="0" xfId="0" applyFont="1" applyAlignment="1">
      <alignment horizontal="center"/>
    </xf>
    <xf numFmtId="0" fontId="3" fillId="0" borderId="0" xfId="0" applyFont="1"/>
    <xf numFmtId="0" fontId="11" fillId="0" borderId="0" xfId="0" applyFont="1" applyAlignment="1">
      <alignment horizontal="center" vertical="center"/>
    </xf>
    <xf numFmtId="0" fontId="3" fillId="0" borderId="0" xfId="0" applyFont="1" applyBorder="1"/>
    <xf numFmtId="0" fontId="12" fillId="0" borderId="0" xfId="0" applyFont="1"/>
    <xf numFmtId="0" fontId="8" fillId="0" borderId="0" xfId="0" applyFont="1"/>
    <xf numFmtId="0" fontId="12" fillId="0" borderId="1" xfId="0" applyFont="1" applyBorder="1"/>
    <xf numFmtId="0" fontId="12" fillId="0" borderId="1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1" fillId="0" borderId="0" xfId="0" applyFont="1"/>
    <xf numFmtId="0" fontId="13" fillId="0" borderId="0" xfId="0" applyFont="1" applyAlignment="1">
      <alignment horizontal="right"/>
    </xf>
    <xf numFmtId="0" fontId="11" fillId="0" borderId="4" xfId="0" applyFont="1" applyBorder="1" applyAlignment="1">
      <alignment horizontal="center" vertical="center"/>
    </xf>
    <xf numFmtId="0" fontId="3" fillId="0" borderId="1" xfId="0" applyFont="1" applyBorder="1"/>
    <xf numFmtId="0" fontId="3" fillId="0" borderId="2" xfId="0" applyFont="1" applyBorder="1" applyAlignment="1">
      <alignment horizontal="center"/>
    </xf>
    <xf numFmtId="166" fontId="11" fillId="0" borderId="2" xfId="0" applyNumberFormat="1" applyFont="1" applyBorder="1"/>
    <xf numFmtId="165" fontId="11" fillId="0" borderId="3" xfId="1" applyNumberFormat="1" applyFont="1" applyBorder="1"/>
    <xf numFmtId="166" fontId="7" fillId="0" borderId="4" xfId="1" applyNumberFormat="1" applyFont="1" applyFill="1" applyBorder="1" applyAlignment="1" applyProtection="1">
      <alignment vertical="center" wrapText="1"/>
    </xf>
    <xf numFmtId="0" fontId="4" fillId="2" borderId="4" xfId="2" applyFont="1" applyFill="1" applyBorder="1" applyAlignment="1" applyProtection="1">
      <alignment vertical="center" wrapText="1"/>
    </xf>
    <xf numFmtId="0" fontId="6" fillId="2" borderId="4" xfId="0" applyFont="1" applyFill="1" applyBorder="1"/>
    <xf numFmtId="166" fontId="7" fillId="2" borderId="4" xfId="1" applyNumberFormat="1" applyFont="1" applyFill="1" applyBorder="1" applyAlignment="1" applyProtection="1">
      <alignment vertical="center" wrapText="1"/>
    </xf>
    <xf numFmtId="0" fontId="5" fillId="0" borderId="0" xfId="0" applyFont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7" fillId="0" borderId="4" xfId="2" applyFont="1" applyFill="1" applyBorder="1" applyAlignment="1" applyProtection="1">
      <alignment horizontal="center" vertical="center" wrapText="1"/>
    </xf>
    <xf numFmtId="0" fontId="4" fillId="2" borderId="4" xfId="2" applyFont="1" applyFill="1" applyBorder="1" applyAlignment="1" applyProtection="1">
      <alignment horizontal="center" vertical="center" wrapText="1"/>
    </xf>
    <xf numFmtId="166" fontId="0" fillId="0" borderId="0" xfId="1" applyNumberFormat="1" applyFont="1"/>
    <xf numFmtId="166" fontId="5" fillId="0" borderId="0" xfId="1" applyNumberFormat="1" applyFont="1"/>
    <xf numFmtId="166" fontId="9" fillId="0" borderId="4" xfId="1" applyNumberFormat="1" applyFont="1" applyFill="1" applyBorder="1" applyAlignment="1" applyProtection="1">
      <alignment horizontal="center" vertical="center" wrapText="1"/>
    </xf>
    <xf numFmtId="166" fontId="6" fillId="2" borderId="4" xfId="1" applyNumberFormat="1" applyFont="1" applyFill="1" applyBorder="1"/>
    <xf numFmtId="166" fontId="4" fillId="2" borderId="4" xfId="1" applyNumberFormat="1" applyFont="1" applyFill="1" applyBorder="1" applyAlignment="1" applyProtection="1">
      <alignment vertical="center" wrapText="1"/>
    </xf>
    <xf numFmtId="0" fontId="0" fillId="0" borderId="4" xfId="0" applyBorder="1"/>
    <xf numFmtId="0" fontId="14" fillId="0" borderId="0" xfId="0" applyFont="1"/>
    <xf numFmtId="0" fontId="4" fillId="3" borderId="4" xfId="2" applyFont="1" applyFill="1" applyBorder="1" applyAlignment="1" applyProtection="1">
      <alignment vertical="center" wrapText="1"/>
    </xf>
    <xf numFmtId="0" fontId="14" fillId="3" borderId="4" xfId="0" applyFont="1" applyFill="1" applyBorder="1"/>
    <xf numFmtId="166" fontId="4" fillId="3" borderId="4" xfId="1" applyNumberFormat="1" applyFont="1" applyFill="1" applyBorder="1" applyAlignment="1" applyProtection="1">
      <alignment vertical="center" wrapText="1"/>
    </xf>
    <xf numFmtId="166" fontId="7" fillId="3" borderId="4" xfId="1" applyNumberFormat="1" applyFont="1" applyFill="1" applyBorder="1" applyAlignment="1" applyProtection="1">
      <alignment vertical="center" wrapText="1"/>
    </xf>
    <xf numFmtId="166" fontId="0" fillId="0" borderId="4" xfId="1" applyNumberFormat="1" applyFont="1" applyBorder="1"/>
    <xf numFmtId="0" fontId="9" fillId="0" borderId="1" xfId="0" applyFont="1" applyBorder="1" applyAlignment="1">
      <alignment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4" xfId="0" applyFont="1" applyBorder="1" applyAlignment="1">
      <alignment vertical="center" wrapText="1"/>
    </xf>
    <xf numFmtId="0" fontId="7" fillId="4" borderId="5" xfId="2" applyFont="1" applyFill="1" applyBorder="1" applyAlignment="1" applyProtection="1">
      <alignment vertical="center" wrapText="1"/>
    </xf>
    <xf numFmtId="0" fontId="15" fillId="0" borderId="0" xfId="0" applyFont="1" applyAlignment="1">
      <alignment horizontal="justify" vertical="justify" textRotation="180"/>
    </xf>
    <xf numFmtId="0" fontId="17" fillId="4" borderId="6" xfId="0" applyFont="1" applyFill="1" applyBorder="1" applyAlignment="1">
      <alignment horizontal="justify" vertical="justify" textRotation="180"/>
    </xf>
    <xf numFmtId="0" fontId="18" fillId="4" borderId="4" xfId="2" applyFont="1" applyFill="1" applyBorder="1" applyAlignment="1" applyProtection="1">
      <alignment horizontal="center" vertical="center" wrapText="1"/>
    </xf>
    <xf numFmtId="0" fontId="16" fillId="5" borderId="4" xfId="2" applyFont="1" applyFill="1" applyBorder="1" applyAlignment="1" applyProtection="1">
      <alignment horizontal="justify" vertical="justify" textRotation="180" wrapText="1"/>
    </xf>
    <xf numFmtId="0" fontId="17" fillId="5" borderId="4" xfId="0" applyFont="1" applyFill="1" applyBorder="1" applyAlignment="1">
      <alignment horizontal="justify" vertical="justify" textRotation="180"/>
    </xf>
    <xf numFmtId="0" fontId="17" fillId="5" borderId="3" xfId="0" applyFont="1" applyFill="1" applyBorder="1" applyAlignment="1">
      <alignment horizontal="justify" vertical="justify" textRotation="180"/>
    </xf>
    <xf numFmtId="0" fontId="17" fillId="4" borderId="2" xfId="0" applyFont="1" applyFill="1" applyBorder="1" applyAlignment="1">
      <alignment horizontal="justify" vertical="justify" textRotation="180"/>
    </xf>
    <xf numFmtId="0" fontId="7" fillId="4" borderId="2" xfId="2" applyFont="1" applyFill="1" applyBorder="1" applyAlignment="1" applyProtection="1">
      <alignment vertical="center" wrapText="1"/>
    </xf>
    <xf numFmtId="0" fontId="0" fillId="0" borderId="0" xfId="0" applyFont="1"/>
    <xf numFmtId="0" fontId="19" fillId="0" borderId="0" xfId="0" applyFont="1"/>
    <xf numFmtId="0" fontId="0" fillId="6" borderId="4" xfId="0" applyFill="1" applyBorder="1"/>
    <xf numFmtId="0" fontId="20" fillId="6" borderId="4" xfId="0" applyFont="1" applyFill="1" applyBorder="1" applyAlignment="1">
      <alignment horizontal="justify" vertical="justify" textRotation="180"/>
    </xf>
    <xf numFmtId="0" fontId="21" fillId="0" borderId="0" xfId="0" applyFont="1"/>
    <xf numFmtId="0" fontId="21" fillId="2" borderId="4" xfId="0" applyFont="1" applyFill="1" applyBorder="1" applyAlignment="1">
      <alignment horizontal="justify" vertical="justify" textRotation="180"/>
    </xf>
    <xf numFmtId="0" fontId="21" fillId="6" borderId="0" xfId="0" applyFont="1" applyFill="1"/>
    <xf numFmtId="0" fontId="0" fillId="6" borderId="0" xfId="0" applyFill="1"/>
    <xf numFmtId="0" fontId="20" fillId="0" borderId="4" xfId="0" applyFont="1" applyBorder="1" applyAlignment="1">
      <alignment horizontal="justify" vertical="justify" textRotation="180"/>
    </xf>
    <xf numFmtId="0" fontId="0" fillId="0" borderId="4" xfId="0" applyFill="1" applyBorder="1"/>
    <xf numFmtId="0" fontId="0" fillId="0" borderId="0" xfId="0" applyFill="1"/>
    <xf numFmtId="0" fontId="4" fillId="2" borderId="7" xfId="2" applyFont="1" applyFill="1" applyBorder="1" applyAlignment="1" applyProtection="1">
      <alignment vertical="center" wrapText="1"/>
    </xf>
    <xf numFmtId="0" fontId="4" fillId="2" borderId="8" xfId="2" applyFont="1" applyFill="1" applyBorder="1" applyAlignment="1" applyProtection="1">
      <alignment vertical="center" wrapText="1"/>
    </xf>
    <xf numFmtId="0" fontId="0" fillId="7" borderId="4" xfId="0" applyFill="1" applyBorder="1"/>
    <xf numFmtId="0" fontId="21" fillId="2" borderId="7" xfId="0" applyFont="1" applyFill="1" applyBorder="1" applyAlignment="1">
      <alignment horizontal="center" vertical="justify" textRotation="180"/>
    </xf>
    <xf numFmtId="166" fontId="7" fillId="7" borderId="4" xfId="1" applyNumberFormat="1" applyFont="1" applyFill="1" applyBorder="1" applyAlignment="1" applyProtection="1">
      <alignment vertical="center" wrapText="1"/>
    </xf>
    <xf numFmtId="0" fontId="17" fillId="8" borderId="3" xfId="0" applyFont="1" applyFill="1" applyBorder="1" applyAlignment="1">
      <alignment horizontal="justify" vertical="justify" textRotation="180"/>
    </xf>
    <xf numFmtId="0" fontId="18" fillId="0" borderId="4" xfId="2" applyFont="1" applyFill="1" applyBorder="1" applyAlignment="1" applyProtection="1">
      <alignment horizontal="center" vertical="center" wrapText="1"/>
    </xf>
    <xf numFmtId="0" fontId="18" fillId="4" borderId="7" xfId="2" applyFont="1" applyFill="1" applyBorder="1" applyAlignment="1" applyProtection="1">
      <alignment horizontal="center" vertical="center" wrapText="1"/>
    </xf>
    <xf numFmtId="0" fontId="21" fillId="0" borderId="4" xfId="0" applyFont="1" applyBorder="1"/>
    <xf numFmtId="43" fontId="0" fillId="0" borderId="0" xfId="1" applyFont="1"/>
    <xf numFmtId="43" fontId="17" fillId="5" borderId="3" xfId="1" applyFont="1" applyFill="1" applyBorder="1" applyAlignment="1">
      <alignment horizontal="justify" vertical="justify" textRotation="180"/>
    </xf>
    <xf numFmtId="43" fontId="7" fillId="0" borderId="4" xfId="1" applyFont="1" applyFill="1" applyBorder="1" applyAlignment="1" applyProtection="1">
      <alignment vertical="center" wrapText="1"/>
    </xf>
    <xf numFmtId="165" fontId="7" fillId="0" borderId="4" xfId="1" applyNumberFormat="1" applyFont="1" applyFill="1" applyBorder="1" applyAlignment="1" applyProtection="1">
      <alignment vertical="center" wrapText="1"/>
    </xf>
    <xf numFmtId="165" fontId="0" fillId="0" borderId="0" xfId="1" applyNumberFormat="1" applyFont="1"/>
    <xf numFmtId="165" fontId="4" fillId="2" borderId="4" xfId="1" applyNumberFormat="1" applyFont="1" applyFill="1" applyBorder="1" applyAlignment="1" applyProtection="1">
      <alignment vertical="center" wrapText="1"/>
    </xf>
    <xf numFmtId="0" fontId="0" fillId="9" borderId="4" xfId="0" applyFill="1" applyBorder="1"/>
    <xf numFmtId="166" fontId="7" fillId="9" borderId="4" xfId="1" applyNumberFormat="1" applyFont="1" applyFill="1" applyBorder="1" applyAlignment="1" applyProtection="1">
      <alignment vertical="center" wrapText="1"/>
    </xf>
    <xf numFmtId="0" fontId="4" fillId="2" borderId="10" xfId="2" applyFont="1" applyFill="1" applyBorder="1" applyAlignment="1" applyProtection="1">
      <alignment horizontal="center" vertical="center" wrapText="1"/>
    </xf>
    <xf numFmtId="0" fontId="23" fillId="0" borderId="0" xfId="0" applyFont="1"/>
    <xf numFmtId="166" fontId="7" fillId="10" borderId="4" xfId="1" applyNumberFormat="1" applyFont="1" applyFill="1" applyBorder="1" applyAlignment="1" applyProtection="1">
      <alignment vertical="center" wrapText="1"/>
    </xf>
    <xf numFmtId="0" fontId="15" fillId="0" borderId="0" xfId="0" applyFont="1"/>
    <xf numFmtId="0" fontId="25" fillId="0" borderId="4" xfId="2" applyFont="1" applyFill="1" applyBorder="1" applyAlignment="1" applyProtection="1">
      <alignment horizontal="center" vertical="center" wrapText="1"/>
    </xf>
    <xf numFmtId="0" fontId="25" fillId="2" borderId="4" xfId="2" applyFont="1" applyFill="1" applyBorder="1" applyAlignment="1" applyProtection="1">
      <alignment vertical="center" wrapText="1"/>
    </xf>
    <xf numFmtId="166" fontId="4" fillId="10" borderId="3" xfId="1" applyNumberFormat="1" applyFont="1" applyFill="1" applyBorder="1" applyAlignment="1" applyProtection="1">
      <alignment vertical="center" wrapText="1"/>
    </xf>
    <xf numFmtId="43" fontId="24" fillId="10" borderId="3" xfId="1" applyFont="1" applyFill="1" applyBorder="1"/>
    <xf numFmtId="166" fontId="24" fillId="10" borderId="3" xfId="1" applyNumberFormat="1" applyFont="1" applyFill="1" applyBorder="1"/>
    <xf numFmtId="0" fontId="24" fillId="10" borderId="3" xfId="0" applyFont="1" applyFill="1" applyBorder="1"/>
    <xf numFmtId="0" fontId="4" fillId="10" borderId="4" xfId="2" applyFont="1" applyFill="1" applyBorder="1" applyAlignment="1" applyProtection="1">
      <alignment vertical="center" wrapText="1"/>
    </xf>
    <xf numFmtId="0" fontId="25" fillId="10" borderId="4" xfId="2" applyFont="1" applyFill="1" applyBorder="1" applyAlignment="1" applyProtection="1">
      <alignment vertical="center" wrapText="1"/>
    </xf>
    <xf numFmtId="0" fontId="17" fillId="10" borderId="3" xfId="0" applyFont="1" applyFill="1" applyBorder="1" applyAlignment="1">
      <alignment horizontal="justify" vertical="justify" textRotation="180"/>
    </xf>
    <xf numFmtId="43" fontId="17" fillId="10" borderId="3" xfId="1" applyFont="1" applyFill="1" applyBorder="1" applyAlignment="1">
      <alignment horizontal="justify" vertical="justify" textRotation="180"/>
    </xf>
    <xf numFmtId="0" fontId="7" fillId="10" borderId="4" xfId="2" applyFont="1" applyFill="1" applyBorder="1" applyAlignment="1" applyProtection="1">
      <alignment vertical="center" wrapText="1"/>
    </xf>
    <xf numFmtId="166" fontId="4" fillId="11" borderId="4" xfId="1" applyNumberFormat="1" applyFont="1" applyFill="1" applyBorder="1" applyAlignment="1" applyProtection="1">
      <alignment vertical="center" wrapText="1"/>
    </xf>
    <xf numFmtId="0" fontId="27" fillId="10" borderId="4" xfId="0" applyFont="1" applyFill="1" applyBorder="1"/>
    <xf numFmtId="0" fontId="28" fillId="10" borderId="4" xfId="0" applyFont="1" applyFill="1" applyBorder="1"/>
    <xf numFmtId="166" fontId="29" fillId="10" borderId="4" xfId="0" applyNumberFormat="1" applyFont="1" applyFill="1" applyBorder="1"/>
    <xf numFmtId="0" fontId="5" fillId="10" borderId="4" xfId="0" applyFont="1" applyFill="1" applyBorder="1"/>
    <xf numFmtId="0" fontId="9" fillId="10" borderId="4" xfId="2" applyFont="1" applyFill="1" applyBorder="1" applyAlignment="1" applyProtection="1">
      <alignment horizontal="center" vertical="center" wrapText="1"/>
    </xf>
    <xf numFmtId="0" fontId="9" fillId="10" borderId="7" xfId="2" applyFont="1" applyFill="1" applyBorder="1" applyAlignment="1" applyProtection="1">
      <alignment horizontal="center" vertical="center" wrapText="1"/>
    </xf>
    <xf numFmtId="0" fontId="14" fillId="10" borderId="4" xfId="0" applyFont="1" applyFill="1" applyBorder="1"/>
    <xf numFmtId="166" fontId="7" fillId="8" borderId="4" xfId="1" applyNumberFormat="1" applyFont="1" applyFill="1" applyBorder="1" applyAlignment="1" applyProtection="1">
      <alignment vertical="center" wrapText="1"/>
    </xf>
    <xf numFmtId="166" fontId="4" fillId="0" borderId="4" xfId="1" applyNumberFormat="1" applyFont="1" applyFill="1" applyBorder="1" applyAlignment="1" applyProtection="1">
      <alignment vertical="center" wrapText="1"/>
    </xf>
    <xf numFmtId="0" fontId="26" fillId="0" borderId="0" xfId="0" applyFont="1"/>
    <xf numFmtId="166" fontId="0" fillId="0" borderId="0" xfId="0" applyNumberFormat="1"/>
    <xf numFmtId="43" fontId="17" fillId="5" borderId="3" xfId="0" applyNumberFormat="1" applyFont="1" applyFill="1" applyBorder="1" applyAlignment="1">
      <alignment horizontal="justify" vertical="justify" textRotation="180"/>
    </xf>
    <xf numFmtId="14" fontId="7" fillId="0" borderId="4" xfId="2" applyNumberFormat="1" applyFont="1" applyFill="1" applyBorder="1" applyAlignment="1" applyProtection="1">
      <alignment vertical="center" wrapText="1"/>
    </xf>
    <xf numFmtId="166" fontId="31" fillId="0" borderId="4" xfId="1" applyNumberFormat="1" applyFont="1" applyFill="1" applyBorder="1" applyAlignment="1" applyProtection="1">
      <alignment horizontal="center" vertical="center"/>
    </xf>
    <xf numFmtId="165" fontId="14" fillId="10" borderId="4" xfId="1" applyNumberFormat="1" applyFont="1" applyFill="1" applyBorder="1"/>
    <xf numFmtId="0" fontId="4" fillId="8" borderId="4" xfId="2" applyFont="1" applyFill="1" applyBorder="1" applyAlignment="1" applyProtection="1">
      <alignment vertical="center" wrapText="1"/>
    </xf>
    <xf numFmtId="9" fontId="0" fillId="0" borderId="0" xfId="3" applyFont="1"/>
    <xf numFmtId="9" fontId="14" fillId="6" borderId="4" xfId="3" applyFont="1" applyFill="1" applyBorder="1"/>
    <xf numFmtId="9" fontId="14" fillId="13" borderId="4" xfId="3" applyFont="1" applyFill="1" applyBorder="1"/>
    <xf numFmtId="166" fontId="7" fillId="0" borderId="0" xfId="1" applyNumberFormat="1" applyFont="1" applyFill="1" applyBorder="1" applyAlignment="1" applyProtection="1">
      <alignment vertical="center" wrapText="1"/>
    </xf>
    <xf numFmtId="167" fontId="0" fillId="0" borderId="0" xfId="0" applyNumberFormat="1"/>
    <xf numFmtId="168" fontId="0" fillId="0" borderId="0" xfId="0" applyNumberFormat="1"/>
    <xf numFmtId="168" fontId="14" fillId="0" borderId="0" xfId="0" applyNumberFormat="1" applyFont="1"/>
    <xf numFmtId="1" fontId="0" fillId="0" borderId="0" xfId="0" applyNumberFormat="1"/>
    <xf numFmtId="0" fontId="0" fillId="0" borderId="0" xfId="0" quotePrefix="1"/>
    <xf numFmtId="0" fontId="14" fillId="0" borderId="0" xfId="0" quotePrefix="1" applyFont="1"/>
    <xf numFmtId="9" fontId="14" fillId="0" borderId="0" xfId="3" applyFont="1" applyFill="1" applyBorder="1"/>
    <xf numFmtId="0" fontId="32" fillId="0" borderId="0" xfId="0" applyFont="1"/>
    <xf numFmtId="0" fontId="33" fillId="0" borderId="0" xfId="0" applyFont="1"/>
    <xf numFmtId="0" fontId="33" fillId="0" borderId="0" xfId="0" quotePrefix="1" applyFont="1"/>
    <xf numFmtId="0" fontId="12" fillId="0" borderId="7" xfId="0" applyFont="1" applyBorder="1" applyAlignment="1">
      <alignment horizontal="center"/>
    </xf>
    <xf numFmtId="0" fontId="0" fillId="0" borderId="0" xfId="0" applyBorder="1"/>
    <xf numFmtId="0" fontId="0" fillId="0" borderId="7" xfId="0" applyBorder="1"/>
    <xf numFmtId="166" fontId="0" fillId="0" borderId="9" xfId="1" applyNumberFormat="1" applyFont="1" applyBorder="1"/>
    <xf numFmtId="0" fontId="12" fillId="0" borderId="0" xfId="0" applyFont="1" applyBorder="1" applyAlignment="1">
      <alignment horizontal="center"/>
    </xf>
    <xf numFmtId="166" fontId="0" fillId="0" borderId="0" xfId="1" applyNumberFormat="1" applyFont="1" applyBorder="1"/>
    <xf numFmtId="0" fontId="12" fillId="0" borderId="0" xfId="0" quotePrefix="1" applyFont="1" applyBorder="1" applyAlignment="1">
      <alignment horizontal="left"/>
    </xf>
    <xf numFmtId="0" fontId="18" fillId="0" borderId="9" xfId="2" applyFont="1" applyFill="1" applyBorder="1" applyAlignment="1" applyProtection="1">
      <alignment horizontal="center" vertical="center" wrapText="1"/>
    </xf>
    <xf numFmtId="2" fontId="4" fillId="3" borderId="4" xfId="2" applyNumberFormat="1" applyFont="1" applyFill="1" applyBorder="1" applyAlignment="1" applyProtection="1">
      <alignment vertical="center" wrapText="1"/>
    </xf>
    <xf numFmtId="165" fontId="0" fillId="0" borderId="0" xfId="0" applyNumberFormat="1"/>
    <xf numFmtId="165" fontId="0" fillId="0" borderId="4" xfId="1" applyNumberFormat="1" applyFont="1" applyFill="1" applyBorder="1" applyAlignment="1">
      <alignment horizontal="center" vertical="center"/>
    </xf>
    <xf numFmtId="165" fontId="3" fillId="15" borderId="4" xfId="1" applyNumberFormat="1" applyFont="1" applyFill="1" applyBorder="1" applyAlignment="1">
      <alignment horizontal="center" vertical="center"/>
    </xf>
    <xf numFmtId="165" fontId="3" fillId="0" borderId="4" xfId="1" applyNumberFormat="1" applyFont="1" applyFill="1" applyBorder="1" applyAlignment="1">
      <alignment horizontal="center" vertical="center"/>
    </xf>
    <xf numFmtId="165" fontId="34" fillId="0" borderId="4" xfId="1" applyNumberFormat="1" applyFont="1" applyFill="1" applyBorder="1" applyAlignment="1">
      <alignment horizontal="center" vertical="center"/>
    </xf>
    <xf numFmtId="0" fontId="0" fillId="0" borderId="4" xfId="0" applyFont="1" applyBorder="1"/>
    <xf numFmtId="165" fontId="34" fillId="15" borderId="4" xfId="1" applyNumberFormat="1" applyFont="1" applyFill="1" applyBorder="1" applyAlignment="1">
      <alignment horizontal="center" vertical="center"/>
    </xf>
    <xf numFmtId="0" fontId="8" fillId="2" borderId="4" xfId="2" applyFont="1" applyFill="1" applyBorder="1" applyAlignment="1" applyProtection="1">
      <alignment vertical="center" wrapText="1"/>
    </xf>
    <xf numFmtId="0" fontId="35" fillId="0" borderId="4" xfId="2" applyFont="1" applyFill="1" applyBorder="1" applyAlignment="1" applyProtection="1">
      <alignment vertical="center" wrapText="1"/>
    </xf>
    <xf numFmtId="165" fontId="34" fillId="16" borderId="4" xfId="1" applyNumberFormat="1" applyFont="1" applyFill="1" applyBorder="1" applyAlignment="1">
      <alignment horizontal="center" vertical="center"/>
    </xf>
    <xf numFmtId="165" fontId="5" fillId="0" borderId="0" xfId="1" applyNumberFormat="1" applyFont="1"/>
    <xf numFmtId="165" fontId="0" fillId="0" borderId="4" xfId="1" applyNumberFormat="1" applyFont="1" applyBorder="1"/>
    <xf numFmtId="165" fontId="8" fillId="2" borderId="4" xfId="1" applyNumberFormat="1" applyFont="1" applyFill="1" applyBorder="1" applyAlignment="1" applyProtection="1">
      <alignment vertical="center" wrapText="1"/>
    </xf>
    <xf numFmtId="165" fontId="35" fillId="0" borderId="4" xfId="1" applyNumberFormat="1" applyFont="1" applyFill="1" applyBorder="1" applyAlignment="1" applyProtection="1">
      <alignment vertical="center" wrapText="1"/>
    </xf>
    <xf numFmtId="165" fontId="0" fillId="0" borderId="4" xfId="1" applyNumberFormat="1" applyFont="1" applyFill="1" applyBorder="1"/>
    <xf numFmtId="165" fontId="3" fillId="14" borderId="4" xfId="1" applyNumberFormat="1" applyFont="1" applyFill="1" applyBorder="1" applyAlignment="1">
      <alignment horizontal="center" vertical="center"/>
    </xf>
    <xf numFmtId="165" fontId="3" fillId="0" borderId="4" xfId="1" applyNumberFormat="1" applyFont="1" applyFill="1" applyBorder="1" applyAlignment="1">
      <alignment horizontal="center"/>
    </xf>
    <xf numFmtId="165" fontId="3" fillId="14" borderId="4" xfId="1" applyNumberFormat="1" applyFont="1" applyFill="1" applyBorder="1" applyAlignment="1">
      <alignment horizontal="center"/>
    </xf>
    <xf numFmtId="165" fontId="3" fillId="0" borderId="9" xfId="1" applyNumberFormat="1" applyFont="1" applyFill="1" applyBorder="1" applyAlignment="1">
      <alignment horizontal="center"/>
    </xf>
    <xf numFmtId="43" fontId="0" fillId="0" borderId="0" xfId="1" applyNumberFormat="1" applyFont="1"/>
    <xf numFmtId="0" fontId="0" fillId="0" borderId="0" xfId="0" applyAlignment="1"/>
    <xf numFmtId="166" fontId="0" fillId="17" borderId="0" xfId="1" applyNumberFormat="1" applyFont="1" applyFill="1"/>
    <xf numFmtId="166" fontId="11" fillId="0" borderId="0" xfId="1" applyNumberFormat="1" applyFont="1" applyAlignment="1">
      <alignment horizontal="center"/>
    </xf>
    <xf numFmtId="166" fontId="0" fillId="7" borderId="4" xfId="1" applyNumberFormat="1" applyFont="1" applyFill="1" applyBorder="1"/>
    <xf numFmtId="166" fontId="14" fillId="7" borderId="4" xfId="1" applyNumberFormat="1" applyFont="1" applyFill="1" applyBorder="1"/>
    <xf numFmtId="0" fontId="14" fillId="6" borderId="0" xfId="0" applyFont="1" applyFill="1" applyBorder="1"/>
    <xf numFmtId="0" fontId="0" fillId="0" borderId="0" xfId="0" applyFill="1" applyBorder="1"/>
    <xf numFmtId="168" fontId="36" fillId="0" borderId="0" xfId="0" applyNumberFormat="1" applyFont="1"/>
    <xf numFmtId="166" fontId="14" fillId="0" borderId="0" xfId="1" applyNumberFormat="1" applyFont="1"/>
    <xf numFmtId="166" fontId="6" fillId="0" borderId="0" xfId="1" applyNumberFormat="1" applyFont="1"/>
    <xf numFmtId="166" fontId="38" fillId="0" borderId="0" xfId="1" applyNumberFormat="1" applyFont="1"/>
    <xf numFmtId="0" fontId="6" fillId="0" borderId="0" xfId="0" applyFont="1" applyAlignment="1">
      <alignment horizontal="center"/>
    </xf>
    <xf numFmtId="165" fontId="9" fillId="0" borderId="4" xfId="1" applyNumberFormat="1" applyFont="1" applyFill="1" applyBorder="1" applyAlignment="1" applyProtection="1">
      <alignment horizontal="center" vertical="center" wrapText="1"/>
    </xf>
    <xf numFmtId="165" fontId="6" fillId="0" borderId="0" xfId="1" applyNumberFormat="1" applyFont="1"/>
    <xf numFmtId="0" fontId="39" fillId="2" borderId="4" xfId="2" applyFont="1" applyFill="1" applyBorder="1" applyAlignment="1" applyProtection="1">
      <alignment vertical="center" wrapText="1"/>
    </xf>
    <xf numFmtId="166" fontId="30" fillId="2" borderId="4" xfId="1" applyNumberFormat="1" applyFont="1" applyFill="1" applyBorder="1" applyAlignment="1" applyProtection="1">
      <alignment vertical="center" wrapText="1"/>
    </xf>
    <xf numFmtId="0" fontId="39" fillId="2" borderId="4" xfId="2" applyFont="1" applyFill="1" applyBorder="1" applyAlignment="1" applyProtection="1">
      <alignment horizontal="center" vertical="center" wrapText="1"/>
    </xf>
    <xf numFmtId="166" fontId="39" fillId="2" borderId="4" xfId="1" applyNumberFormat="1" applyFont="1" applyFill="1" applyBorder="1" applyAlignment="1" applyProtection="1">
      <alignment vertical="center" wrapText="1"/>
    </xf>
    <xf numFmtId="166" fontId="30" fillId="8" borderId="4" xfId="1" applyNumberFormat="1" applyFont="1" applyFill="1" applyBorder="1" applyAlignment="1" applyProtection="1">
      <alignment vertical="center" wrapText="1"/>
    </xf>
    <xf numFmtId="0" fontId="40" fillId="0" borderId="0" xfId="0" applyFont="1"/>
    <xf numFmtId="166" fontId="39" fillId="0" borderId="4" xfId="1" applyNumberFormat="1" applyFont="1" applyFill="1" applyBorder="1" applyAlignment="1" applyProtection="1">
      <alignment vertical="center" wrapText="1"/>
    </xf>
    <xf numFmtId="0" fontId="39" fillId="0" borderId="4" xfId="2" applyFont="1" applyFill="1" applyBorder="1" applyAlignment="1" applyProtection="1">
      <alignment vertical="center" wrapText="1"/>
    </xf>
    <xf numFmtId="14" fontId="39" fillId="0" borderId="4" xfId="2" applyNumberFormat="1" applyFont="1" applyFill="1" applyBorder="1" applyAlignment="1" applyProtection="1">
      <alignment vertical="center" wrapText="1"/>
    </xf>
    <xf numFmtId="166" fontId="41" fillId="0" borderId="4" xfId="1" applyNumberFormat="1" applyFont="1" applyFill="1" applyBorder="1" applyAlignment="1" applyProtection="1">
      <alignment horizontal="center" vertical="center"/>
    </xf>
    <xf numFmtId="0" fontId="39" fillId="0" borderId="4" xfId="2" applyFont="1" applyFill="1" applyBorder="1" applyAlignment="1" applyProtection="1">
      <alignment horizontal="center" vertical="center" wrapText="1"/>
    </xf>
    <xf numFmtId="0" fontId="42" fillId="0" borderId="0" xfId="0" applyFont="1"/>
    <xf numFmtId="0" fontId="14" fillId="0" borderId="4" xfId="0" applyFont="1" applyBorder="1"/>
    <xf numFmtId="0" fontId="14" fillId="0" borderId="0" xfId="0" applyFont="1" applyAlignment="1">
      <alignment horizontal="right"/>
    </xf>
    <xf numFmtId="166" fontId="14" fillId="0" borderId="4" xfId="1" applyNumberFormat="1" applyFont="1" applyBorder="1"/>
    <xf numFmtId="165" fontId="39" fillId="2" borderId="4" xfId="1" applyNumberFormat="1" applyFont="1" applyFill="1" applyBorder="1" applyAlignment="1" applyProtection="1">
      <alignment vertical="center" wrapText="1"/>
    </xf>
    <xf numFmtId="165" fontId="30" fillId="8" borderId="4" xfId="1" applyNumberFormat="1" applyFont="1" applyFill="1" applyBorder="1" applyAlignment="1" applyProtection="1">
      <alignment vertical="center" wrapText="1"/>
    </xf>
    <xf numFmtId="165" fontId="39" fillId="0" borderId="4" xfId="1" applyNumberFormat="1" applyFont="1" applyFill="1" applyBorder="1" applyAlignment="1" applyProtection="1">
      <alignment vertical="center" wrapText="1"/>
    </xf>
    <xf numFmtId="166" fontId="37" fillId="12" borderId="1" xfId="1" applyNumberFormat="1" applyFont="1" applyFill="1" applyBorder="1" applyAlignment="1" applyProtection="1">
      <alignment vertical="center" wrapText="1"/>
    </xf>
    <xf numFmtId="165" fontId="37" fillId="12" borderId="1" xfId="1" applyNumberFormat="1" applyFont="1" applyFill="1" applyBorder="1" applyAlignment="1" applyProtection="1">
      <alignment vertical="center" wrapText="1"/>
    </xf>
    <xf numFmtId="0" fontId="10" fillId="0" borderId="4" xfId="0" applyFont="1" applyBorder="1" applyAlignment="1">
      <alignment horizontal="center"/>
    </xf>
    <xf numFmtId="0" fontId="40" fillId="0" borderId="4" xfId="0" applyFont="1" applyBorder="1"/>
    <xf numFmtId="0" fontId="5" fillId="0" borderId="4" xfId="0" applyFont="1" applyBorder="1"/>
    <xf numFmtId="0" fontId="42" fillId="0" borderId="4" xfId="0" applyFont="1" applyBorder="1"/>
    <xf numFmtId="0" fontId="0" fillId="18" borderId="4" xfId="0" applyFill="1" applyBorder="1"/>
    <xf numFmtId="0" fontId="44" fillId="0" borderId="0" xfId="0" applyFont="1"/>
    <xf numFmtId="0" fontId="45" fillId="0" borderId="0" xfId="0" applyFont="1"/>
    <xf numFmtId="0" fontId="7" fillId="19" borderId="4" xfId="2" applyFont="1" applyFill="1" applyBorder="1" applyAlignment="1" applyProtection="1">
      <alignment vertical="center" wrapText="1"/>
    </xf>
    <xf numFmtId="166" fontId="7" fillId="19" borderId="4" xfId="1" applyNumberFormat="1" applyFont="1" applyFill="1" applyBorder="1" applyAlignment="1" applyProtection="1">
      <alignment vertical="center" wrapText="1"/>
    </xf>
    <xf numFmtId="165" fontId="7" fillId="19" borderId="4" xfId="1" applyNumberFormat="1" applyFont="1" applyFill="1" applyBorder="1" applyAlignment="1" applyProtection="1">
      <alignment vertical="center" wrapText="1"/>
    </xf>
    <xf numFmtId="0" fontId="0" fillId="19" borderId="0" xfId="0" applyFill="1"/>
    <xf numFmtId="166" fontId="7" fillId="20" borderId="4" xfId="1" applyNumberFormat="1" applyFont="1" applyFill="1" applyBorder="1" applyAlignment="1" applyProtection="1">
      <alignment vertical="center" wrapText="1"/>
    </xf>
    <xf numFmtId="166" fontId="4" fillId="19" borderId="4" xfId="1" applyNumberFormat="1" applyFont="1" applyFill="1" applyBorder="1" applyAlignment="1" applyProtection="1">
      <alignment vertical="center" wrapText="1"/>
    </xf>
    <xf numFmtId="166" fontId="4" fillId="21" borderId="4" xfId="1" applyNumberFormat="1" applyFont="1" applyFill="1" applyBorder="1" applyAlignment="1" applyProtection="1">
      <alignment vertical="center" wrapText="1"/>
    </xf>
    <xf numFmtId="171" fontId="0" fillId="0" borderId="0" xfId="1" applyNumberFormat="1" applyFont="1"/>
    <xf numFmtId="171" fontId="14" fillId="0" borderId="0" xfId="1" applyNumberFormat="1" applyFont="1"/>
    <xf numFmtId="14" fontId="7" fillId="19" borderId="4" xfId="2" applyNumberFormat="1" applyFont="1" applyFill="1" applyBorder="1" applyAlignment="1" applyProtection="1">
      <alignment vertical="center" wrapText="1"/>
    </xf>
    <xf numFmtId="166" fontId="31" fillId="19" borderId="4" xfId="1" applyNumberFormat="1" applyFont="1" applyFill="1" applyBorder="1" applyAlignment="1" applyProtection="1">
      <alignment horizontal="center" vertical="center"/>
    </xf>
    <xf numFmtId="0" fontId="7" fillId="19" borderId="4" xfId="2" applyFont="1" applyFill="1" applyBorder="1" applyAlignment="1" applyProtection="1">
      <alignment horizontal="center" vertical="center" wrapText="1"/>
    </xf>
    <xf numFmtId="0" fontId="5" fillId="19" borderId="4" xfId="0" applyFont="1" applyFill="1" applyBorder="1"/>
    <xf numFmtId="0" fontId="5" fillId="19" borderId="0" xfId="0" applyFont="1" applyFill="1"/>
    <xf numFmtId="170" fontId="5" fillId="0" borderId="0" xfId="1" applyNumberFormat="1" applyFont="1"/>
    <xf numFmtId="166" fontId="10" fillId="0" borderId="0" xfId="1" applyNumberFormat="1" applyFont="1" applyAlignment="1">
      <alignment horizontal="center"/>
    </xf>
    <xf numFmtId="166" fontId="40" fillId="0" borderId="0" xfId="1" applyNumberFormat="1" applyFont="1"/>
    <xf numFmtId="166" fontId="5" fillId="19" borderId="0" xfId="1" applyNumberFormat="1" applyFont="1" applyFill="1"/>
    <xf numFmtId="166" fontId="42" fillId="0" borderId="0" xfId="1" applyNumberFormat="1" applyFont="1"/>
    <xf numFmtId="172" fontId="0" fillId="0" borderId="0" xfId="1" applyNumberFormat="1" applyFont="1"/>
    <xf numFmtId="0" fontId="35" fillId="0" borderId="0" xfId="0" applyFont="1"/>
    <xf numFmtId="0" fontId="35" fillId="0" borderId="0" xfId="0" applyFont="1" applyAlignment="1">
      <alignment horizontal="center"/>
    </xf>
    <xf numFmtId="166" fontId="35" fillId="0" borderId="0" xfId="1" applyNumberFormat="1" applyFont="1"/>
    <xf numFmtId="165" fontId="35" fillId="0" borderId="0" xfId="1" applyNumberFormat="1" applyFont="1"/>
    <xf numFmtId="166" fontId="47" fillId="0" borderId="0" xfId="1" applyNumberFormat="1" applyFont="1"/>
    <xf numFmtId="170" fontId="35" fillId="0" borderId="0" xfId="1" applyNumberFormat="1" applyFont="1"/>
    <xf numFmtId="166" fontId="4" fillId="12" borderId="1" xfId="1" applyNumberFormat="1" applyFont="1" applyFill="1" applyBorder="1" applyAlignment="1" applyProtection="1">
      <alignment vertical="center" wrapText="1"/>
    </xf>
    <xf numFmtId="165" fontId="4" fillId="12" borderId="1" xfId="1" applyNumberFormat="1" applyFont="1" applyFill="1" applyBorder="1" applyAlignment="1" applyProtection="1">
      <alignment vertical="center" wrapText="1"/>
    </xf>
    <xf numFmtId="0" fontId="9" fillId="0" borderId="4" xfId="0" applyFont="1" applyBorder="1" applyAlignment="1">
      <alignment horizontal="center"/>
    </xf>
    <xf numFmtId="166" fontId="9" fillId="0" borderId="0" xfId="1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4" xfId="0" applyFont="1" applyBorder="1"/>
    <xf numFmtId="166" fontId="8" fillId="0" borderId="0" xfId="1" applyNumberFormat="1" applyFont="1"/>
    <xf numFmtId="0" fontId="35" fillId="0" borderId="4" xfId="0" applyFont="1" applyBorder="1"/>
    <xf numFmtId="165" fontId="7" fillId="8" borderId="4" xfId="1" applyNumberFormat="1" applyFont="1" applyFill="1" applyBorder="1" applyAlignment="1" applyProtection="1">
      <alignment vertical="center" wrapText="1"/>
    </xf>
    <xf numFmtId="0" fontId="4" fillId="0" borderId="4" xfId="2" applyFont="1" applyFill="1" applyBorder="1" applyAlignment="1" applyProtection="1">
      <alignment vertical="center" wrapText="1"/>
    </xf>
    <xf numFmtId="14" fontId="4" fillId="0" borderId="4" xfId="2" applyNumberFormat="1" applyFont="1" applyFill="1" applyBorder="1" applyAlignment="1" applyProtection="1">
      <alignment vertical="center" wrapText="1"/>
    </xf>
    <xf numFmtId="166" fontId="48" fillId="0" borderId="4" xfId="1" applyNumberFormat="1" applyFont="1" applyFill="1" applyBorder="1" applyAlignment="1" applyProtection="1">
      <alignment horizontal="center" vertical="center"/>
    </xf>
    <xf numFmtId="0" fontId="4" fillId="0" borderId="4" xfId="2" applyFont="1" applyFill="1" applyBorder="1" applyAlignment="1" applyProtection="1">
      <alignment horizontal="center" vertical="center" wrapText="1"/>
    </xf>
    <xf numFmtId="165" fontId="4" fillId="0" borderId="4" xfId="1" applyNumberFormat="1" applyFont="1" applyFill="1" applyBorder="1" applyAlignment="1" applyProtection="1">
      <alignment vertical="center" wrapText="1"/>
    </xf>
    <xf numFmtId="0" fontId="35" fillId="0" borderId="4" xfId="0" applyFont="1" applyFill="1" applyBorder="1"/>
    <xf numFmtId="166" fontId="35" fillId="0" borderId="0" xfId="1" applyNumberFormat="1" applyFont="1" applyFill="1"/>
    <xf numFmtId="0" fontId="35" fillId="0" borderId="0" xfId="0" applyFont="1" applyFill="1"/>
    <xf numFmtId="0" fontId="4" fillId="0" borderId="0" xfId="2" applyFont="1" applyFill="1" applyBorder="1" applyAlignment="1" applyProtection="1">
      <alignment vertical="center" wrapText="1"/>
    </xf>
    <xf numFmtId="14" fontId="4" fillId="0" borderId="0" xfId="2" applyNumberFormat="1" applyFont="1" applyFill="1" applyBorder="1" applyAlignment="1" applyProtection="1">
      <alignment vertical="center" wrapText="1"/>
    </xf>
    <xf numFmtId="166" fontId="48" fillId="0" borderId="0" xfId="1" applyNumberFormat="1" applyFont="1" applyFill="1" applyBorder="1" applyAlignment="1" applyProtection="1">
      <alignment horizontal="center" vertical="center"/>
    </xf>
    <xf numFmtId="166" fontId="4" fillId="0" borderId="0" xfId="1" applyNumberFormat="1" applyFont="1" applyFill="1" applyBorder="1" applyAlignment="1" applyProtection="1">
      <alignment vertical="center" wrapText="1"/>
    </xf>
    <xf numFmtId="0" fontId="4" fillId="0" borderId="0" xfId="2" applyFont="1" applyFill="1" applyBorder="1" applyAlignment="1" applyProtection="1">
      <alignment horizontal="center" vertical="center" wrapText="1"/>
    </xf>
    <xf numFmtId="165" fontId="4" fillId="0" borderId="0" xfId="1" applyNumberFormat="1" applyFont="1" applyFill="1" applyBorder="1" applyAlignment="1" applyProtection="1">
      <alignment vertical="center" wrapText="1"/>
    </xf>
    <xf numFmtId="166" fontId="39" fillId="0" borderId="0" xfId="1" applyNumberFormat="1" applyFont="1" applyFill="1" applyBorder="1" applyAlignment="1" applyProtection="1">
      <alignment vertical="center" wrapText="1"/>
    </xf>
    <xf numFmtId="0" fontId="35" fillId="0" borderId="0" xfId="0" applyFont="1" applyBorder="1"/>
    <xf numFmtId="166" fontId="7" fillId="18" borderId="4" xfId="1" applyNumberFormat="1" applyFont="1" applyFill="1" applyBorder="1" applyAlignment="1" applyProtection="1">
      <alignment vertical="center" wrapText="1"/>
    </xf>
    <xf numFmtId="0" fontId="7" fillId="18" borderId="4" xfId="2" applyFont="1" applyFill="1" applyBorder="1" applyAlignment="1" applyProtection="1">
      <alignment vertical="center" wrapText="1"/>
    </xf>
    <xf numFmtId="0" fontId="7" fillId="18" borderId="4" xfId="2" applyFont="1" applyFill="1" applyBorder="1" applyAlignment="1" applyProtection="1">
      <alignment horizontal="center" vertical="center" wrapText="1"/>
    </xf>
    <xf numFmtId="14" fontId="7" fillId="18" borderId="4" xfId="2" applyNumberFormat="1" applyFont="1" applyFill="1" applyBorder="1" applyAlignment="1" applyProtection="1">
      <alignment vertical="center" wrapText="1"/>
    </xf>
    <xf numFmtId="0" fontId="49" fillId="18" borderId="4" xfId="0" applyFont="1" applyFill="1" applyBorder="1"/>
    <xf numFmtId="0" fontId="49" fillId="9" borderId="4" xfId="0" applyFont="1" applyFill="1" applyBorder="1"/>
    <xf numFmtId="43" fontId="43" fillId="18" borderId="4" xfId="1" applyFont="1" applyFill="1" applyBorder="1"/>
    <xf numFmtId="166" fontId="46" fillId="0" borderId="4" xfId="1" applyNumberFormat="1" applyFont="1" applyFill="1" applyBorder="1" applyAlignment="1" applyProtection="1">
      <alignment vertical="center" wrapText="1"/>
    </xf>
    <xf numFmtId="166" fontId="17" fillId="8" borderId="3" xfId="0" applyNumberFormat="1" applyFont="1" applyFill="1" applyBorder="1" applyAlignment="1">
      <alignment horizontal="justify" vertical="justify" textRotation="180"/>
    </xf>
    <xf numFmtId="43" fontId="0" fillId="0" borderId="0" xfId="0" applyNumberFormat="1" applyFill="1"/>
    <xf numFmtId="165" fontId="7" fillId="18" borderId="4" xfId="1" applyNumberFormat="1" applyFont="1" applyFill="1" applyBorder="1" applyAlignment="1" applyProtection="1">
      <alignment vertical="center" wrapText="1"/>
    </xf>
    <xf numFmtId="0" fontId="50" fillId="0" borderId="0" xfId="0" applyFont="1"/>
    <xf numFmtId="0" fontId="51" fillId="10" borderId="4" xfId="2" applyFont="1" applyFill="1" applyBorder="1" applyAlignment="1" applyProtection="1">
      <alignment horizontal="center" vertical="center" wrapText="1"/>
    </xf>
    <xf numFmtId="0" fontId="51" fillId="10" borderId="7" xfId="2" applyFont="1" applyFill="1" applyBorder="1" applyAlignment="1" applyProtection="1">
      <alignment horizontal="center" vertical="center" wrapText="1"/>
    </xf>
    <xf numFmtId="0" fontId="53" fillId="0" borderId="4" xfId="2" applyFont="1" applyFill="1" applyBorder="1" applyAlignment="1" applyProtection="1">
      <alignment vertical="center" wrapText="1"/>
    </xf>
    <xf numFmtId="166" fontId="31" fillId="18" borderId="4" xfId="1" applyNumberFormat="1" applyFont="1" applyFill="1" applyBorder="1" applyAlignment="1" applyProtection="1">
      <alignment horizontal="center" vertical="center"/>
    </xf>
    <xf numFmtId="166" fontId="4" fillId="18" borderId="4" xfId="1" applyNumberFormat="1" applyFont="1" applyFill="1" applyBorder="1" applyAlignment="1" applyProtection="1">
      <alignment vertical="center" wrapText="1"/>
    </xf>
    <xf numFmtId="0" fontId="35" fillId="18" borderId="4" xfId="0" applyFont="1" applyFill="1" applyBorder="1"/>
    <xf numFmtId="14" fontId="55" fillId="0" borderId="0" xfId="1" applyNumberFormat="1" applyFont="1"/>
    <xf numFmtId="166" fontId="8" fillId="0" borderId="0" xfId="1" applyNumberFormat="1" applyFont="1" applyAlignment="1">
      <alignment horizontal="center"/>
    </xf>
    <xf numFmtId="0" fontId="8" fillId="0" borderId="0" xfId="0" applyFont="1" applyAlignment="1">
      <alignment horizontal="center"/>
    </xf>
    <xf numFmtId="166" fontId="35" fillId="19" borderId="0" xfId="1" applyNumberFormat="1" applyFont="1" applyFill="1"/>
    <xf numFmtId="166" fontId="9" fillId="19" borderId="4" xfId="1" applyNumberFormat="1" applyFont="1" applyFill="1" applyBorder="1" applyAlignment="1" applyProtection="1">
      <alignment horizontal="center" vertical="center" wrapText="1"/>
    </xf>
    <xf numFmtId="166" fontId="4" fillId="19" borderId="0" xfId="1" applyNumberFormat="1" applyFont="1" applyFill="1" applyBorder="1" applyAlignment="1" applyProtection="1">
      <alignment vertical="center" wrapText="1"/>
    </xf>
    <xf numFmtId="166" fontId="8" fillId="19" borderId="0" xfId="1" applyNumberFormat="1" applyFont="1" applyFill="1"/>
    <xf numFmtId="0" fontId="35" fillId="19" borderId="0" xfId="0" applyFont="1" applyFill="1"/>
    <xf numFmtId="166" fontId="35" fillId="19" borderId="0" xfId="1" applyNumberFormat="1" applyFont="1" applyFill="1" applyAlignment="1">
      <alignment horizontal="center"/>
    </xf>
    <xf numFmtId="166" fontId="4" fillId="19" borderId="4" xfId="1" applyNumberFormat="1" applyFont="1" applyFill="1" applyBorder="1" applyAlignment="1" applyProtection="1">
      <alignment horizontal="center" vertical="center" wrapText="1"/>
    </xf>
    <xf numFmtId="166" fontId="7" fillId="19" borderId="4" xfId="1" applyNumberFormat="1" applyFont="1" applyFill="1" applyBorder="1" applyAlignment="1" applyProtection="1">
      <alignment horizontal="center" vertical="center" wrapText="1"/>
    </xf>
    <xf numFmtId="166" fontId="8" fillId="19" borderId="0" xfId="1" applyNumberFormat="1" applyFont="1" applyFill="1" applyAlignment="1">
      <alignment horizontal="center"/>
    </xf>
    <xf numFmtId="0" fontId="56" fillId="0" borderId="0" xfId="0" applyFont="1" applyAlignment="1"/>
    <xf numFmtId="0" fontId="51" fillId="0" borderId="0" xfId="0" applyFont="1" applyAlignment="1"/>
    <xf numFmtId="0" fontId="57" fillId="0" borderId="0" xfId="0" applyFont="1"/>
    <xf numFmtId="0" fontId="58" fillId="0" borderId="0" xfId="0" applyFont="1"/>
    <xf numFmtId="0" fontId="59" fillId="0" borderId="0" xfId="0" applyFont="1"/>
    <xf numFmtId="166" fontId="51" fillId="0" borderId="0" xfId="1" applyNumberFormat="1" applyFont="1" applyBorder="1"/>
    <xf numFmtId="0" fontId="51" fillId="0" borderId="0" xfId="0" applyFont="1"/>
    <xf numFmtId="0" fontId="60" fillId="0" borderId="0" xfId="0" applyFont="1"/>
    <xf numFmtId="0" fontId="51" fillId="19" borderId="1" xfId="0" applyFont="1" applyFill="1" applyBorder="1" applyAlignment="1">
      <alignment horizontal="center" vertical="center"/>
    </xf>
    <xf numFmtId="0" fontId="51" fillId="19" borderId="4" xfId="0" applyFont="1" applyFill="1" applyBorder="1" applyAlignment="1">
      <alignment horizontal="center"/>
    </xf>
    <xf numFmtId="0" fontId="51" fillId="19" borderId="3" xfId="0" applyFont="1" applyFill="1" applyBorder="1" applyAlignment="1">
      <alignment horizontal="center" vertical="center"/>
    </xf>
    <xf numFmtId="0" fontId="61" fillId="19" borderId="4" xfId="0" applyFont="1" applyFill="1" applyBorder="1" applyAlignment="1">
      <alignment horizontal="center" vertical="center"/>
    </xf>
    <xf numFmtId="0" fontId="51" fillId="22" borderId="4" xfId="0" applyFont="1" applyFill="1" applyBorder="1"/>
    <xf numFmtId="0" fontId="57" fillId="22" borderId="4" xfId="0" applyFont="1" applyFill="1" applyBorder="1" applyAlignment="1">
      <alignment horizontal="center"/>
    </xf>
    <xf numFmtId="0" fontId="51" fillId="22" borderId="4" xfId="0" applyFont="1" applyFill="1" applyBorder="1" applyAlignment="1">
      <alignment horizontal="center"/>
    </xf>
    <xf numFmtId="0" fontId="57" fillId="0" borderId="4" xfId="0" applyFont="1" applyBorder="1"/>
    <xf numFmtId="0" fontId="57" fillId="23" borderId="4" xfId="0" applyFont="1" applyFill="1" applyBorder="1" applyAlignment="1">
      <alignment horizontal="center"/>
    </xf>
    <xf numFmtId="0" fontId="57" fillId="23" borderId="4" xfId="0" applyFont="1" applyFill="1" applyBorder="1"/>
    <xf numFmtId="0" fontId="57" fillId="0" borderId="4" xfId="0" applyFont="1" applyBorder="1" applyAlignment="1">
      <alignment horizontal="center"/>
    </xf>
    <xf numFmtId="166" fontId="57" fillId="0" borderId="4" xfId="0" applyNumberFormat="1" applyFont="1" applyBorder="1" applyAlignment="1">
      <alignment horizontal="right"/>
    </xf>
    <xf numFmtId="173" fontId="57" fillId="0" borderId="4" xfId="0" applyNumberFormat="1" applyFont="1" applyBorder="1" applyAlignment="1">
      <alignment horizontal="right"/>
    </xf>
    <xf numFmtId="0" fontId="57" fillId="22" borderId="4" xfId="0" applyFont="1" applyFill="1" applyBorder="1"/>
    <xf numFmtId="0" fontId="51" fillId="22" borderId="4" xfId="0" applyFont="1" applyFill="1" applyBorder="1" applyAlignment="1"/>
    <xf numFmtId="0" fontId="51" fillId="22" borderId="4" xfId="0" applyFont="1" applyFill="1" applyBorder="1" applyAlignment="1">
      <alignment wrapText="1"/>
    </xf>
    <xf numFmtId="166" fontId="57" fillId="0" borderId="0" xfId="0" applyNumberFormat="1" applyFont="1"/>
    <xf numFmtId="166" fontId="35" fillId="21" borderId="0" xfId="1" applyNumberFormat="1" applyFont="1" applyFill="1"/>
    <xf numFmtId="166" fontId="9" fillId="21" borderId="4" xfId="1" applyNumberFormat="1" applyFont="1" applyFill="1" applyBorder="1" applyAlignment="1" applyProtection="1">
      <alignment horizontal="center" vertical="center" wrapText="1"/>
    </xf>
    <xf numFmtId="166" fontId="7" fillId="21" borderId="4" xfId="1" applyNumberFormat="1" applyFont="1" applyFill="1" applyBorder="1" applyAlignment="1" applyProtection="1">
      <alignment vertical="center" wrapText="1"/>
    </xf>
    <xf numFmtId="166" fontId="4" fillId="21" borderId="0" xfId="1" applyNumberFormat="1" applyFont="1" applyFill="1" applyBorder="1" applyAlignment="1" applyProtection="1">
      <alignment vertical="center" wrapText="1"/>
    </xf>
    <xf numFmtId="0" fontId="35" fillId="21" borderId="0" xfId="0" applyFont="1" applyFill="1"/>
    <xf numFmtId="166" fontId="47" fillId="21" borderId="0" xfId="1" applyNumberFormat="1" applyFont="1" applyFill="1"/>
    <xf numFmtId="166" fontId="8" fillId="21" borderId="0" xfId="1" applyNumberFormat="1" applyFont="1" applyFill="1" applyAlignment="1">
      <alignment horizontal="center"/>
    </xf>
    <xf numFmtId="0" fontId="8" fillId="21" borderId="0" xfId="0" applyFont="1" applyFill="1" applyAlignment="1">
      <alignment horizontal="center"/>
    </xf>
    <xf numFmtId="10" fontId="35" fillId="21" borderId="0" xfId="3" applyNumberFormat="1" applyFont="1" applyFill="1"/>
    <xf numFmtId="10" fontId="47" fillId="21" borderId="0" xfId="3" applyNumberFormat="1" applyFont="1" applyFill="1"/>
    <xf numFmtId="10" fontId="9" fillId="21" borderId="4" xfId="3" applyNumberFormat="1" applyFont="1" applyFill="1" applyBorder="1" applyAlignment="1" applyProtection="1">
      <alignment horizontal="center" vertical="center" wrapText="1"/>
    </xf>
    <xf numFmtId="10" fontId="7" fillId="21" borderId="4" xfId="3" applyNumberFormat="1" applyFont="1" applyFill="1" applyBorder="1" applyAlignment="1" applyProtection="1">
      <alignment vertical="center" wrapText="1"/>
    </xf>
    <xf numFmtId="10" fontId="4" fillId="21" borderId="0" xfId="3" applyNumberFormat="1" applyFont="1" applyFill="1" applyBorder="1" applyAlignment="1" applyProtection="1">
      <alignment vertical="center" wrapText="1"/>
    </xf>
    <xf numFmtId="10" fontId="8" fillId="21" borderId="0" xfId="3" applyNumberFormat="1" applyFont="1" applyFill="1" applyAlignment="1">
      <alignment horizontal="center"/>
    </xf>
    <xf numFmtId="166" fontId="9" fillId="21" borderId="0" xfId="1" applyNumberFormat="1" applyFont="1" applyFill="1" applyAlignment="1">
      <alignment horizontal="center"/>
    </xf>
    <xf numFmtId="0" fontId="7" fillId="21" borderId="4" xfId="2" applyFont="1" applyFill="1" applyBorder="1" applyAlignment="1" applyProtection="1">
      <alignment vertical="center" wrapText="1"/>
    </xf>
    <xf numFmtId="0" fontId="0" fillId="21" borderId="4" xfId="0" applyFill="1" applyBorder="1"/>
    <xf numFmtId="171" fontId="14" fillId="21" borderId="0" xfId="1" applyNumberFormat="1" applyFont="1" applyFill="1"/>
    <xf numFmtId="0" fontId="0" fillId="21" borderId="0" xfId="0" applyFill="1"/>
    <xf numFmtId="166" fontId="0" fillId="21" borderId="0" xfId="1" applyNumberFormat="1" applyFont="1" applyFill="1"/>
    <xf numFmtId="0" fontId="7" fillId="24" borderId="4" xfId="2" applyFont="1" applyFill="1" applyBorder="1" applyAlignment="1" applyProtection="1">
      <alignment vertical="center" wrapText="1"/>
    </xf>
    <xf numFmtId="0" fontId="0" fillId="24" borderId="4" xfId="0" applyFill="1" applyBorder="1"/>
    <xf numFmtId="166" fontId="7" fillId="24" borderId="4" xfId="1" applyNumberFormat="1" applyFont="1" applyFill="1" applyBorder="1" applyAlignment="1" applyProtection="1">
      <alignment vertical="center" wrapText="1"/>
    </xf>
    <xf numFmtId="171" fontId="14" fillId="24" borderId="0" xfId="1" applyNumberFormat="1" applyFont="1" applyFill="1"/>
    <xf numFmtId="0" fontId="0" fillId="24" borderId="0" xfId="0" applyFill="1"/>
    <xf numFmtId="166" fontId="0" fillId="24" borderId="0" xfId="1" applyNumberFormat="1" applyFont="1" applyFill="1"/>
    <xf numFmtId="0" fontId="7" fillId="22" borderId="4" xfId="2" applyFont="1" applyFill="1" applyBorder="1" applyAlignment="1" applyProtection="1">
      <alignment vertical="center" wrapText="1"/>
    </xf>
    <xf numFmtId="0" fontId="0" fillId="22" borderId="4" xfId="0" applyFill="1" applyBorder="1"/>
    <xf numFmtId="166" fontId="7" fillId="22" borderId="4" xfId="1" applyNumberFormat="1" applyFont="1" applyFill="1" applyBorder="1" applyAlignment="1" applyProtection="1">
      <alignment vertical="center" wrapText="1"/>
    </xf>
    <xf numFmtId="171" fontId="14" fillId="22" borderId="0" xfId="1" applyNumberFormat="1" applyFont="1" applyFill="1"/>
    <xf numFmtId="0" fontId="0" fillId="22" borderId="0" xfId="0" applyFill="1"/>
    <xf numFmtId="166" fontId="0" fillId="22" borderId="0" xfId="1" applyNumberFormat="1" applyFont="1" applyFill="1"/>
    <xf numFmtId="0" fontId="0" fillId="0" borderId="0" xfId="0" applyAlignment="1">
      <alignment horizontal="center"/>
    </xf>
    <xf numFmtId="0" fontId="4" fillId="3" borderId="4" xfId="2" applyFont="1" applyFill="1" applyBorder="1" applyAlignment="1" applyProtection="1">
      <alignment horizontal="center" vertical="center" wrapText="1"/>
    </xf>
    <xf numFmtId="0" fontId="7" fillId="22" borderId="4" xfId="2" applyFont="1" applyFill="1" applyBorder="1" applyAlignment="1" applyProtection="1">
      <alignment horizontal="center" vertical="center" wrapText="1"/>
    </xf>
    <xf numFmtId="0" fontId="7" fillId="21" borderId="4" xfId="2" applyFont="1" applyFill="1" applyBorder="1" applyAlignment="1" applyProtection="1">
      <alignment horizontal="center" vertical="center" wrapText="1"/>
    </xf>
    <xf numFmtId="0" fontId="7" fillId="24" borderId="4" xfId="2" applyFont="1" applyFill="1" applyBorder="1" applyAlignment="1" applyProtection="1">
      <alignment horizontal="center" vertical="center" wrapText="1"/>
    </xf>
    <xf numFmtId="0" fontId="0" fillId="0" borderId="4" xfId="0" applyBorder="1" applyAlignment="1">
      <alignment horizontal="center"/>
    </xf>
    <xf numFmtId="165" fontId="0" fillId="21" borderId="0" xfId="1" applyNumberFormat="1" applyFont="1" applyFill="1"/>
    <xf numFmtId="43" fontId="0" fillId="21" borderId="0" xfId="1" applyFont="1" applyFill="1"/>
    <xf numFmtId="166" fontId="17" fillId="21" borderId="3" xfId="1" applyNumberFormat="1" applyFont="1" applyFill="1" applyBorder="1" applyAlignment="1">
      <alignment horizontal="justify" vertical="justify" textRotation="180"/>
    </xf>
    <xf numFmtId="165" fontId="17" fillId="21" borderId="3" xfId="1" applyNumberFormat="1" applyFont="1" applyFill="1" applyBorder="1" applyAlignment="1">
      <alignment horizontal="justify" vertical="justify" textRotation="180"/>
    </xf>
    <xf numFmtId="43" fontId="17" fillId="21" borderId="3" xfId="1" applyFont="1" applyFill="1" applyBorder="1" applyAlignment="1">
      <alignment horizontal="justify" vertical="justify" textRotation="180"/>
    </xf>
    <xf numFmtId="166" fontId="24" fillId="21" borderId="3" xfId="1" applyNumberFormat="1" applyFont="1" applyFill="1" applyBorder="1"/>
    <xf numFmtId="165" fontId="0" fillId="22" borderId="0" xfId="1" applyNumberFormat="1" applyFont="1" applyFill="1"/>
    <xf numFmtId="43" fontId="0" fillId="22" borderId="0" xfId="1" applyFont="1" applyFill="1"/>
    <xf numFmtId="166" fontId="17" fillId="22" borderId="3" xfId="1" applyNumberFormat="1" applyFont="1" applyFill="1" applyBorder="1" applyAlignment="1">
      <alignment horizontal="justify" vertical="justify" textRotation="180"/>
    </xf>
    <xf numFmtId="165" fontId="17" fillId="22" borderId="3" xfId="1" applyNumberFormat="1" applyFont="1" applyFill="1" applyBorder="1" applyAlignment="1">
      <alignment horizontal="justify" vertical="justify" textRotation="180"/>
    </xf>
    <xf numFmtId="43" fontId="17" fillId="22" borderId="3" xfId="1" applyFont="1" applyFill="1" applyBorder="1" applyAlignment="1">
      <alignment horizontal="justify" vertical="justify" textRotation="180"/>
    </xf>
    <xf numFmtId="166" fontId="24" fillId="22" borderId="3" xfId="1" applyNumberFormat="1" applyFont="1" applyFill="1" applyBorder="1"/>
    <xf numFmtId="165" fontId="0" fillId="24" borderId="0" xfId="1" applyNumberFormat="1" applyFont="1" applyFill="1"/>
    <xf numFmtId="165" fontId="17" fillId="24" borderId="3" xfId="1" applyNumberFormat="1" applyFont="1" applyFill="1" applyBorder="1" applyAlignment="1">
      <alignment horizontal="justify" vertical="justify" textRotation="180"/>
    </xf>
    <xf numFmtId="166" fontId="24" fillId="24" borderId="3" xfId="1" applyNumberFormat="1" applyFont="1" applyFill="1" applyBorder="1"/>
    <xf numFmtId="169" fontId="49" fillId="0" borderId="0" xfId="1" applyNumberFormat="1" applyFont="1"/>
    <xf numFmtId="169" fontId="9" fillId="0" borderId="4" xfId="1" applyNumberFormat="1" applyFont="1" applyFill="1" applyBorder="1" applyAlignment="1" applyProtection="1">
      <alignment horizontal="center" vertical="center" wrapText="1"/>
    </xf>
    <xf numFmtId="169" fontId="4" fillId="3" borderId="4" xfId="1" applyNumberFormat="1" applyFont="1" applyFill="1" applyBorder="1" applyAlignment="1" applyProtection="1">
      <alignment vertical="center" wrapText="1"/>
    </xf>
    <xf numFmtId="169" fontId="7" fillId="0" borderId="4" xfId="1" applyNumberFormat="1" applyFont="1" applyFill="1" applyBorder="1" applyAlignment="1" applyProtection="1">
      <alignment vertical="center" wrapText="1"/>
    </xf>
    <xf numFmtId="169" fontId="7" fillId="22" borderId="4" xfId="1" applyNumberFormat="1" applyFont="1" applyFill="1" applyBorder="1" applyAlignment="1" applyProtection="1">
      <alignment vertical="center" wrapText="1"/>
    </xf>
    <xf numFmtId="169" fontId="7" fillId="21" borderId="4" xfId="1" applyNumberFormat="1" applyFont="1" applyFill="1" applyBorder="1" applyAlignment="1" applyProtection="1">
      <alignment vertical="center" wrapText="1"/>
    </xf>
    <xf numFmtId="169" fontId="7" fillId="24" borderId="4" xfId="1" applyNumberFormat="1" applyFont="1" applyFill="1" applyBorder="1" applyAlignment="1" applyProtection="1">
      <alignment vertical="center" wrapText="1"/>
    </xf>
    <xf numFmtId="166" fontId="9" fillId="24" borderId="4" xfId="1" applyNumberFormat="1" applyFont="1" applyFill="1" applyBorder="1" applyAlignment="1" applyProtection="1">
      <alignment horizontal="center" vertical="center" wrapText="1"/>
    </xf>
    <xf numFmtId="166" fontId="4" fillId="24" borderId="4" xfId="1" applyNumberFormat="1" applyFont="1" applyFill="1" applyBorder="1" applyAlignment="1" applyProtection="1">
      <alignment vertical="center" wrapText="1"/>
    </xf>
    <xf numFmtId="0" fontId="62" fillId="0" borderId="0" xfId="0" applyFont="1"/>
    <xf numFmtId="0" fontId="63" fillId="0" borderId="0" xfId="4" applyFont="1"/>
    <xf numFmtId="0" fontId="63" fillId="0" borderId="12" xfId="4" applyFont="1" applyBorder="1" applyAlignment="1">
      <alignment horizontal="center"/>
    </xf>
    <xf numFmtId="9" fontId="63" fillId="0" borderId="12" xfId="5" applyFont="1" applyBorder="1" applyAlignment="1">
      <alignment horizontal="center"/>
    </xf>
    <xf numFmtId="0" fontId="63" fillId="25" borderId="13" xfId="4" applyFont="1" applyFill="1" applyBorder="1" applyAlignment="1">
      <alignment horizontal="center"/>
    </xf>
    <xf numFmtId="9" fontId="63" fillId="25" borderId="13" xfId="5" applyFont="1" applyFill="1" applyBorder="1" applyAlignment="1">
      <alignment horizontal="center"/>
    </xf>
    <xf numFmtId="9" fontId="63" fillId="0" borderId="0" xfId="4" applyNumberFormat="1" applyFont="1"/>
    <xf numFmtId="0" fontId="63" fillId="0" borderId="13" xfId="4" applyFont="1" applyBorder="1" applyAlignment="1">
      <alignment horizontal="center"/>
    </xf>
    <xf numFmtId="9" fontId="63" fillId="0" borderId="13" xfId="5" applyFont="1" applyBorder="1" applyAlignment="1">
      <alignment horizontal="center"/>
    </xf>
    <xf numFmtId="0" fontId="63" fillId="26" borderId="13" xfId="4" applyFont="1" applyFill="1" applyBorder="1" applyAlignment="1">
      <alignment horizontal="center"/>
    </xf>
    <xf numFmtId="0" fontId="64" fillId="25" borderId="13" xfId="4" applyFont="1" applyFill="1" applyBorder="1" applyAlignment="1">
      <alignment horizontal="center"/>
    </xf>
    <xf numFmtId="0" fontId="63" fillId="27" borderId="13" xfId="4" applyFont="1" applyFill="1" applyBorder="1" applyAlignment="1">
      <alignment horizontal="center"/>
    </xf>
    <xf numFmtId="0" fontId="63" fillId="0" borderId="13" xfId="4" applyFont="1" applyFill="1" applyBorder="1" applyAlignment="1">
      <alignment horizontal="center"/>
    </xf>
    <xf numFmtId="9" fontId="63" fillId="0" borderId="13" xfId="5" applyFont="1" applyFill="1" applyBorder="1" applyAlignment="1">
      <alignment horizontal="center"/>
    </xf>
    <xf numFmtId="9" fontId="63" fillId="27" borderId="13" xfId="5" applyFont="1" applyFill="1" applyBorder="1" applyAlignment="1">
      <alignment horizontal="center"/>
    </xf>
    <xf numFmtId="43" fontId="63" fillId="0" borderId="0" xfId="6" applyNumberFormat="1" applyFont="1" applyFill="1" applyBorder="1" applyAlignment="1" applyProtection="1"/>
    <xf numFmtId="9" fontId="63" fillId="0" borderId="0" xfId="5" applyFont="1" applyAlignment="1">
      <alignment horizontal="center"/>
    </xf>
    <xf numFmtId="0" fontId="63" fillId="0" borderId="0" xfId="4" applyFont="1" applyAlignment="1">
      <alignment horizontal="center"/>
    </xf>
    <xf numFmtId="9" fontId="35" fillId="0" borderId="0" xfId="3" applyFont="1"/>
    <xf numFmtId="9" fontId="0" fillId="22" borderId="0" xfId="3" applyFont="1" applyFill="1"/>
    <xf numFmtId="174" fontId="0" fillId="22" borderId="0" xfId="0" applyNumberFormat="1" applyFill="1"/>
    <xf numFmtId="166" fontId="0" fillId="21" borderId="0" xfId="0" applyNumberFormat="1" applyFill="1"/>
    <xf numFmtId="0" fontId="18" fillId="0" borderId="8" xfId="2" applyFont="1" applyFill="1" applyBorder="1" applyAlignment="1" applyProtection="1">
      <alignment horizontal="center" vertical="center" wrapText="1"/>
    </xf>
    <xf numFmtId="0" fontId="18" fillId="0" borderId="9" xfId="2" applyFont="1" applyFill="1" applyBorder="1" applyAlignment="1" applyProtection="1">
      <alignment horizontal="center" vertical="center" wrapText="1"/>
    </xf>
    <xf numFmtId="0" fontId="18" fillId="0" borderId="4" xfId="2" applyFont="1" applyFill="1" applyBorder="1" applyAlignment="1" applyProtection="1">
      <alignment horizontal="center" vertical="center" wrapText="1"/>
    </xf>
    <xf numFmtId="0" fontId="17" fillId="22" borderId="3" xfId="0" applyFont="1" applyFill="1" applyBorder="1" applyAlignment="1">
      <alignment horizontal="justify" vertical="justify" textRotation="180"/>
    </xf>
    <xf numFmtId="0" fontId="17" fillId="21" borderId="3" xfId="0" applyFont="1" applyFill="1" applyBorder="1" applyAlignment="1">
      <alignment horizontal="justify" vertical="justify" textRotation="180"/>
    </xf>
    <xf numFmtId="0" fontId="17" fillId="24" borderId="3" xfId="0" applyFont="1" applyFill="1" applyBorder="1" applyAlignment="1">
      <alignment horizontal="justify" vertical="justify" textRotation="180"/>
    </xf>
    <xf numFmtId="0" fontId="17" fillId="5" borderId="2" xfId="0" applyFont="1" applyFill="1" applyBorder="1" applyAlignment="1">
      <alignment horizontal="justify" vertical="justify" textRotation="180"/>
    </xf>
    <xf numFmtId="0" fontId="17" fillId="8" borderId="2" xfId="0" applyFont="1" applyFill="1" applyBorder="1" applyAlignment="1">
      <alignment horizontal="justify" vertical="justify" textRotation="180"/>
    </xf>
    <xf numFmtId="43" fontId="24" fillId="10" borderId="4" xfId="1" applyFont="1" applyFill="1" applyBorder="1"/>
    <xf numFmtId="0" fontId="17" fillId="10" borderId="4" xfId="0" applyFont="1" applyFill="1" applyBorder="1" applyAlignment="1">
      <alignment horizontal="justify" vertical="justify" textRotation="180"/>
    </xf>
    <xf numFmtId="43" fontId="66" fillId="11" borderId="4" xfId="1" applyFont="1" applyFill="1" applyBorder="1"/>
    <xf numFmtId="43" fontId="66" fillId="11" borderId="2" xfId="1" applyFont="1" applyFill="1" applyBorder="1"/>
    <xf numFmtId="166" fontId="66" fillId="11" borderId="4" xfId="1" applyNumberFormat="1" applyFont="1" applyFill="1" applyBorder="1"/>
    <xf numFmtId="0" fontId="66" fillId="11" borderId="4" xfId="0" applyFont="1" applyFill="1" applyBorder="1"/>
    <xf numFmtId="0" fontId="66" fillId="11" borderId="0" xfId="0" applyFont="1" applyFill="1"/>
    <xf numFmtId="166" fontId="6" fillId="11" borderId="0" xfId="0" applyNumberFormat="1" applyFont="1" applyFill="1"/>
    <xf numFmtId="0" fontId="6" fillId="11" borderId="0" xfId="0" applyFont="1" applyFill="1"/>
    <xf numFmtId="0" fontId="8" fillId="8" borderId="0" xfId="0" applyFont="1" applyFill="1"/>
    <xf numFmtId="166" fontId="9" fillId="27" borderId="4" xfId="1" applyNumberFormat="1" applyFont="1" applyFill="1" applyBorder="1" applyAlignment="1" applyProtection="1">
      <alignment horizontal="center" vertical="center" wrapText="1"/>
    </xf>
    <xf numFmtId="166" fontId="0" fillId="27" borderId="0" xfId="1" applyNumberFormat="1" applyFont="1" applyFill="1"/>
    <xf numFmtId="166" fontId="4" fillId="27" borderId="4" xfId="1" applyNumberFormat="1" applyFont="1" applyFill="1" applyBorder="1" applyAlignment="1" applyProtection="1">
      <alignment vertical="center" wrapText="1"/>
    </xf>
    <xf numFmtId="166" fontId="7" fillId="27" borderId="4" xfId="1" applyNumberFormat="1" applyFont="1" applyFill="1" applyBorder="1" applyAlignment="1" applyProtection="1">
      <alignment vertical="center" wrapText="1"/>
    </xf>
    <xf numFmtId="14" fontId="0" fillId="0" borderId="4" xfId="1" applyNumberFormat="1" applyFont="1" applyBorder="1" applyAlignment="1">
      <alignment horizontal="left"/>
    </xf>
    <xf numFmtId="9" fontId="0" fillId="0" borderId="4" xfId="3" applyFont="1" applyBorder="1" applyAlignment="1">
      <alignment horizontal="right"/>
    </xf>
    <xf numFmtId="166" fontId="0" fillId="0" borderId="4" xfId="1" applyNumberFormat="1" applyFont="1" applyBorder="1" applyAlignment="1">
      <alignment horizontal="right"/>
    </xf>
    <xf numFmtId="175" fontId="7" fillId="0" borderId="4" xfId="2" applyNumberFormat="1" applyFont="1" applyFill="1" applyBorder="1" applyAlignment="1" applyProtection="1">
      <alignment vertical="center" wrapText="1"/>
    </xf>
    <xf numFmtId="2" fontId="7" fillId="0" borderId="4" xfId="2" applyNumberFormat="1" applyFont="1" applyFill="1" applyBorder="1" applyAlignment="1" applyProtection="1">
      <alignment vertical="center" wrapText="1"/>
    </xf>
    <xf numFmtId="166" fontId="14" fillId="0" borderId="4" xfId="1" applyNumberFormat="1" applyFont="1" applyBorder="1" applyAlignment="1">
      <alignment horizontal="right"/>
    </xf>
    <xf numFmtId="165" fontId="7" fillId="22" borderId="4" xfId="1" applyNumberFormat="1" applyFont="1" applyFill="1" applyBorder="1" applyAlignment="1" applyProtection="1">
      <alignment vertical="center" wrapText="1"/>
    </xf>
    <xf numFmtId="43" fontId="7" fillId="22" borderId="4" xfId="1" applyFont="1" applyFill="1" applyBorder="1" applyAlignment="1" applyProtection="1">
      <alignment vertical="center" wrapText="1"/>
    </xf>
    <xf numFmtId="0" fontId="7" fillId="0" borderId="4" xfId="2" applyFont="1" applyFill="1" applyBorder="1" applyAlignment="1" applyProtection="1">
      <alignment vertical="center" wrapText="1"/>
    </xf>
    <xf numFmtId="166" fontId="7" fillId="0" borderId="4" xfId="1" applyNumberFormat="1" applyFont="1" applyFill="1" applyBorder="1" applyAlignment="1" applyProtection="1">
      <alignment vertical="center" wrapText="1"/>
    </xf>
    <xf numFmtId="0" fontId="4" fillId="2" borderId="4" xfId="2" applyFont="1" applyFill="1" applyBorder="1" applyAlignment="1" applyProtection="1">
      <alignment vertical="center" wrapText="1"/>
    </xf>
    <xf numFmtId="0" fontId="0" fillId="0" borderId="4" xfId="0" applyBorder="1"/>
    <xf numFmtId="0" fontId="0" fillId="0" borderId="4" xfId="0" applyFill="1" applyBorder="1"/>
    <xf numFmtId="0" fontId="44" fillId="0" borderId="4" xfId="0" applyFont="1" applyBorder="1"/>
    <xf numFmtId="14" fontId="2" fillId="0" borderId="0" xfId="1" applyNumberFormat="1" applyFont="1"/>
    <xf numFmtId="0" fontId="51" fillId="8" borderId="4" xfId="2" applyFont="1" applyFill="1" applyBorder="1" applyAlignment="1" applyProtection="1">
      <alignment vertical="center" wrapText="1"/>
    </xf>
    <xf numFmtId="0" fontId="50" fillId="18" borderId="0" xfId="0" applyFont="1" applyFill="1"/>
    <xf numFmtId="0" fontId="44" fillId="19" borderId="0" xfId="0" applyFont="1" applyFill="1" applyAlignment="1">
      <alignment horizontal="center"/>
    </xf>
    <xf numFmtId="166" fontId="44" fillId="19" borderId="23" xfId="1" applyNumberFormat="1" applyFont="1" applyFill="1" applyBorder="1" applyAlignment="1">
      <alignment horizontal="center"/>
    </xf>
    <xf numFmtId="166" fontId="44" fillId="19" borderId="24" xfId="1" applyNumberFormat="1" applyFont="1" applyFill="1" applyBorder="1" applyAlignment="1">
      <alignment horizontal="center"/>
    </xf>
    <xf numFmtId="166" fontId="35" fillId="0" borderId="0" xfId="0" applyNumberFormat="1" applyFont="1" applyFill="1"/>
    <xf numFmtId="0" fontId="51" fillId="0" borderId="4" xfId="2" applyFont="1" applyFill="1" applyBorder="1" applyAlignment="1" applyProtection="1">
      <alignment horizontal="center" vertical="center" wrapText="1"/>
    </xf>
    <xf numFmtId="9" fontId="51" fillId="0" borderId="4" xfId="3" applyFont="1" applyFill="1" applyBorder="1" applyAlignment="1" applyProtection="1">
      <alignment horizontal="center" vertical="center" wrapText="1"/>
    </xf>
    <xf numFmtId="166" fontId="51" fillId="19" borderId="4" xfId="1" applyNumberFormat="1" applyFont="1" applyFill="1" applyBorder="1" applyAlignment="1" applyProtection="1">
      <alignment horizontal="center" vertical="center" wrapText="1"/>
    </xf>
    <xf numFmtId="166" fontId="51" fillId="0" borderId="4" xfId="1" applyNumberFormat="1" applyFont="1" applyFill="1" applyBorder="1" applyAlignment="1" applyProtection="1">
      <alignment horizontal="center" vertical="center" wrapText="1"/>
    </xf>
    <xf numFmtId="165" fontId="51" fillId="0" borderId="4" xfId="1" applyNumberFormat="1" applyFont="1" applyFill="1" applyBorder="1" applyAlignment="1" applyProtection="1">
      <alignment horizontal="center" vertical="center" wrapText="1"/>
    </xf>
    <xf numFmtId="0" fontId="57" fillId="18" borderId="4" xfId="2" applyFont="1" applyFill="1" applyBorder="1" applyAlignment="1" applyProtection="1">
      <alignment vertical="center" wrapText="1"/>
    </xf>
    <xf numFmtId="0" fontId="51" fillId="19" borderId="4" xfId="2" applyFont="1" applyFill="1" applyBorder="1" applyAlignment="1" applyProtection="1">
      <alignment vertical="center" wrapText="1"/>
    </xf>
    <xf numFmtId="14" fontId="51" fillId="19" borderId="4" xfId="2" applyNumberFormat="1" applyFont="1" applyFill="1" applyBorder="1" applyAlignment="1" applyProtection="1">
      <alignment vertical="center" wrapText="1"/>
    </xf>
    <xf numFmtId="166" fontId="51" fillId="19" borderId="4" xfId="1" applyNumberFormat="1" applyFont="1" applyFill="1" applyBorder="1" applyAlignment="1" applyProtection="1">
      <alignment horizontal="center" vertical="center"/>
    </xf>
    <xf numFmtId="9" fontId="51" fillId="19" borderId="4" xfId="3" applyFont="1" applyFill="1" applyBorder="1" applyAlignment="1" applyProtection="1">
      <alignment horizontal="center" vertical="center"/>
    </xf>
    <xf numFmtId="166" fontId="51" fillId="19" borderId="4" xfId="1" applyNumberFormat="1" applyFont="1" applyFill="1" applyBorder="1" applyAlignment="1" applyProtection="1">
      <alignment vertical="center" wrapText="1"/>
    </xf>
    <xf numFmtId="0" fontId="51" fillId="19" borderId="4" xfId="2" applyFont="1" applyFill="1" applyBorder="1" applyAlignment="1" applyProtection="1">
      <alignment horizontal="center" vertical="center" wrapText="1"/>
    </xf>
    <xf numFmtId="165" fontId="57" fillId="19" borderId="4" xfId="1" applyNumberFormat="1" applyFont="1" applyFill="1" applyBorder="1" applyAlignment="1" applyProtection="1">
      <alignment vertical="center" wrapText="1"/>
    </xf>
    <xf numFmtId="166" fontId="57" fillId="19" borderId="4" xfId="1" applyNumberFormat="1" applyFont="1" applyFill="1" applyBorder="1" applyAlignment="1" applyProtection="1">
      <alignment vertical="center" wrapText="1"/>
    </xf>
    <xf numFmtId="166" fontId="57" fillId="19" borderId="1" xfId="1" applyNumberFormat="1" applyFont="1" applyFill="1" applyBorder="1" applyAlignment="1" applyProtection="1">
      <alignment vertical="center" wrapText="1"/>
    </xf>
    <xf numFmtId="0" fontId="49" fillId="0" borderId="0" xfId="0" applyFont="1"/>
    <xf numFmtId="0" fontId="69" fillId="0" borderId="0" xfId="0" applyFont="1"/>
    <xf numFmtId="0" fontId="70" fillId="0" borderId="0" xfId="0" applyFont="1"/>
    <xf numFmtId="0" fontId="16" fillId="5" borderId="4" xfId="0" applyFont="1" applyFill="1" applyBorder="1" applyAlignment="1">
      <alignment horizontal="justify" vertical="justify" textRotation="180"/>
    </xf>
    <xf numFmtId="0" fontId="16" fillId="5" borderId="3" xfId="0" applyFont="1" applyFill="1" applyBorder="1" applyAlignment="1">
      <alignment horizontal="justify" vertical="justify" textRotation="180"/>
    </xf>
    <xf numFmtId="0" fontId="16" fillId="8" borderId="3" xfId="0" applyFont="1" applyFill="1" applyBorder="1" applyAlignment="1">
      <alignment horizontal="justify" vertical="justify" textRotation="180"/>
    </xf>
    <xf numFmtId="0" fontId="49" fillId="22" borderId="0" xfId="0" applyFont="1" applyFill="1"/>
    <xf numFmtId="0" fontId="49" fillId="21" borderId="0" xfId="0" applyFont="1" applyFill="1"/>
    <xf numFmtId="0" fontId="49" fillId="24" borderId="0" xfId="0" applyFont="1" applyFill="1"/>
    <xf numFmtId="0" fontId="9" fillId="4" borderId="4" xfId="2" applyFont="1" applyFill="1" applyBorder="1" applyAlignment="1" applyProtection="1">
      <alignment horizontal="center" vertical="center" wrapText="1"/>
    </xf>
    <xf numFmtId="0" fontId="9" fillId="0" borderId="8" xfId="2" applyFont="1" applyFill="1" applyBorder="1" applyAlignment="1" applyProtection="1">
      <alignment horizontal="center" vertical="center" wrapText="1"/>
    </xf>
    <xf numFmtId="0" fontId="9" fillId="4" borderId="7" xfId="2" applyFont="1" applyFill="1" applyBorder="1" applyAlignment="1" applyProtection="1">
      <alignment horizontal="center" vertical="center" wrapText="1"/>
    </xf>
    <xf numFmtId="0" fontId="9" fillId="0" borderId="9" xfId="2" applyFont="1" applyFill="1" applyBorder="1" applyAlignment="1" applyProtection="1">
      <alignment horizontal="center" vertical="center" wrapText="1"/>
    </xf>
    <xf numFmtId="0" fontId="16" fillId="4" borderId="6" xfId="0" applyFont="1" applyFill="1" applyBorder="1" applyAlignment="1">
      <alignment horizontal="justify" vertical="justify" textRotation="180"/>
    </xf>
    <xf numFmtId="43" fontId="16" fillId="5" borderId="3" xfId="0" applyNumberFormat="1" applyFont="1" applyFill="1" applyBorder="1" applyAlignment="1">
      <alignment horizontal="justify" vertical="justify" textRotation="180"/>
    </xf>
    <xf numFmtId="0" fontId="16" fillId="4" borderId="2" xfId="0" applyFont="1" applyFill="1" applyBorder="1" applyAlignment="1">
      <alignment horizontal="justify" vertical="justify" textRotation="180"/>
    </xf>
    <xf numFmtId="0" fontId="16" fillId="22" borderId="3" xfId="0" applyFont="1" applyFill="1" applyBorder="1" applyAlignment="1">
      <alignment horizontal="justify" vertical="justify" textRotation="180"/>
    </xf>
    <xf numFmtId="0" fontId="16" fillId="21" borderId="3" xfId="0" applyFont="1" applyFill="1" applyBorder="1" applyAlignment="1">
      <alignment horizontal="justify" vertical="justify" textRotation="180"/>
    </xf>
    <xf numFmtId="0" fontId="16" fillId="24" borderId="3" xfId="0" applyFont="1" applyFill="1" applyBorder="1" applyAlignment="1">
      <alignment horizontal="justify" vertical="justify" textRotation="180"/>
    </xf>
    <xf numFmtId="0" fontId="71" fillId="0" borderId="0" xfId="0" applyFont="1" applyAlignment="1">
      <alignment horizontal="justify" vertical="justify" textRotation="180"/>
    </xf>
    <xf numFmtId="0" fontId="16" fillId="8" borderId="2" xfId="0" applyFont="1" applyFill="1" applyBorder="1" applyAlignment="1">
      <alignment horizontal="justify" vertical="justify" textRotation="180"/>
    </xf>
    <xf numFmtId="0" fontId="9" fillId="0" borderId="4" xfId="2" applyFont="1" applyFill="1" applyBorder="1" applyAlignment="1" applyProtection="1">
      <alignment horizontal="center" vertical="center" wrapText="1"/>
    </xf>
    <xf numFmtId="166" fontId="57" fillId="0" borderId="0" xfId="1" applyNumberFormat="1" applyFont="1"/>
    <xf numFmtId="0" fontId="57" fillId="0" borderId="0" xfId="0" applyFont="1" applyAlignment="1">
      <alignment horizontal="center"/>
    </xf>
    <xf numFmtId="166" fontId="57" fillId="0" borderId="0" xfId="0" applyNumberFormat="1" applyFont="1" applyAlignment="1">
      <alignment horizontal="center"/>
    </xf>
    <xf numFmtId="166" fontId="57" fillId="0" borderId="0" xfId="1" applyNumberFormat="1" applyFont="1" applyFill="1" applyAlignment="1">
      <alignment horizontal="center"/>
    </xf>
    <xf numFmtId="165" fontId="57" fillId="0" borderId="0" xfId="1" applyNumberFormat="1" applyFont="1"/>
    <xf numFmtId="166" fontId="57" fillId="0" borderId="0" xfId="1" applyNumberFormat="1" applyFont="1" applyFill="1"/>
    <xf numFmtId="166" fontId="57" fillId="19" borderId="0" xfId="1" applyNumberFormat="1" applyFont="1" applyFill="1"/>
    <xf numFmtId="166" fontId="12" fillId="0" borderId="0" xfId="1" applyNumberFormat="1" applyFont="1"/>
    <xf numFmtId="166" fontId="9" fillId="0" borderId="0" xfId="1" applyNumberFormat="1" applyFont="1"/>
    <xf numFmtId="170" fontId="57" fillId="0" borderId="0" xfId="1" applyNumberFormat="1" applyFont="1"/>
    <xf numFmtId="9" fontId="57" fillId="0" borderId="0" xfId="3" applyFont="1"/>
    <xf numFmtId="166" fontId="51" fillId="12" borderId="1" xfId="1" applyNumberFormat="1" applyFont="1" applyFill="1" applyBorder="1" applyAlignment="1" applyProtection="1">
      <alignment vertical="center" wrapText="1"/>
    </xf>
    <xf numFmtId="165" fontId="51" fillId="12" borderId="1" xfId="1" applyNumberFormat="1" applyFont="1" applyFill="1" applyBorder="1" applyAlignment="1" applyProtection="1">
      <alignment vertical="center" wrapText="1"/>
    </xf>
    <xf numFmtId="9" fontId="51" fillId="8" borderId="4" xfId="3" applyFont="1" applyFill="1" applyBorder="1" applyAlignment="1" applyProtection="1">
      <alignment vertical="center" wrapText="1"/>
    </xf>
    <xf numFmtId="166" fontId="57" fillId="8" borderId="4" xfId="1" applyNumberFormat="1" applyFont="1" applyFill="1" applyBorder="1" applyAlignment="1" applyProtection="1">
      <alignment vertical="center" wrapText="1"/>
    </xf>
    <xf numFmtId="0" fontId="51" fillId="8" borderId="4" xfId="2" applyFont="1" applyFill="1" applyBorder="1" applyAlignment="1" applyProtection="1">
      <alignment horizontal="center" vertical="center" wrapText="1"/>
    </xf>
    <xf numFmtId="165" fontId="51" fillId="8" borderId="4" xfId="1" applyNumberFormat="1" applyFont="1" applyFill="1" applyBorder="1" applyAlignment="1" applyProtection="1">
      <alignment vertical="center" wrapText="1"/>
    </xf>
    <xf numFmtId="166" fontId="51" fillId="8" borderId="4" xfId="1" applyNumberFormat="1" applyFont="1" applyFill="1" applyBorder="1" applyAlignment="1" applyProtection="1">
      <alignment vertical="center" wrapText="1"/>
    </xf>
    <xf numFmtId="14" fontId="57" fillId="18" borderId="4" xfId="2" applyNumberFormat="1" applyFont="1" applyFill="1" applyBorder="1" applyAlignment="1" applyProtection="1">
      <alignment vertical="center" wrapText="1"/>
    </xf>
    <xf numFmtId="0" fontId="57" fillId="18" borderId="4" xfId="2" applyFont="1" applyFill="1" applyBorder="1" applyAlignment="1" applyProtection="1">
      <alignment horizontal="center" vertical="center" wrapText="1"/>
    </xf>
    <xf numFmtId="166" fontId="57" fillId="18" borderId="4" xfId="1" applyNumberFormat="1" applyFont="1" applyFill="1" applyBorder="1" applyAlignment="1" applyProtection="1">
      <alignment vertical="center" wrapText="1"/>
    </xf>
    <xf numFmtId="165" fontId="57" fillId="18" borderId="4" xfId="1" applyNumberFormat="1" applyFont="1" applyFill="1" applyBorder="1" applyAlignment="1" applyProtection="1">
      <alignment vertical="center" wrapText="1"/>
    </xf>
    <xf numFmtId="166" fontId="51" fillId="18" borderId="4" xfId="1" applyNumberFormat="1" applyFont="1" applyFill="1" applyBorder="1" applyAlignment="1" applyProtection="1">
      <alignment vertical="center" wrapText="1"/>
    </xf>
    <xf numFmtId="166" fontId="57" fillId="18" borderId="4" xfId="1" applyNumberFormat="1" applyFont="1" applyFill="1" applyBorder="1" applyAlignment="1" applyProtection="1">
      <alignment horizontal="center" vertical="center"/>
    </xf>
    <xf numFmtId="9" fontId="57" fillId="18" borderId="4" xfId="3" applyFont="1" applyFill="1" applyBorder="1" applyAlignment="1" applyProtection="1">
      <alignment horizontal="center" vertical="center"/>
    </xf>
    <xf numFmtId="166" fontId="57" fillId="18" borderId="4" xfId="1" applyNumberFormat="1" applyFont="1" applyFill="1" applyBorder="1" applyAlignment="1" applyProtection="1">
      <alignment horizontal="center" vertical="center" wrapText="1"/>
    </xf>
    <xf numFmtId="165" fontId="57" fillId="8" borderId="4" xfId="1" applyNumberFormat="1" applyFont="1" applyFill="1" applyBorder="1" applyAlignment="1" applyProtection="1">
      <alignment vertical="center" wrapText="1"/>
    </xf>
    <xf numFmtId="166" fontId="12" fillId="0" borderId="0" xfId="1" applyNumberFormat="1" applyFont="1" applyFill="1"/>
    <xf numFmtId="0" fontId="51" fillId="0" borderId="0" xfId="2" applyFont="1" applyFill="1" applyBorder="1" applyAlignment="1" applyProtection="1">
      <alignment vertical="center" wrapText="1"/>
    </xf>
    <xf numFmtId="14" fontId="51" fillId="0" borderId="0" xfId="2" applyNumberFormat="1" applyFont="1" applyFill="1" applyBorder="1" applyAlignment="1" applyProtection="1">
      <alignment vertical="center" wrapText="1"/>
    </xf>
    <xf numFmtId="166" fontId="51" fillId="0" borderId="0" xfId="1" applyNumberFormat="1" applyFont="1" applyFill="1" applyBorder="1" applyAlignment="1" applyProtection="1">
      <alignment horizontal="center" vertical="center"/>
    </xf>
    <xf numFmtId="9" fontId="51" fillId="0" borderId="0" xfId="3" applyFont="1" applyFill="1" applyBorder="1" applyAlignment="1" applyProtection="1">
      <alignment horizontal="center" vertical="center"/>
    </xf>
    <xf numFmtId="166" fontId="51" fillId="0" borderId="0" xfId="1" applyNumberFormat="1" applyFont="1" applyFill="1" applyBorder="1" applyAlignment="1" applyProtection="1">
      <alignment vertical="center" wrapText="1"/>
    </xf>
    <xf numFmtId="0" fontId="51" fillId="0" borderId="0" xfId="2" applyFont="1" applyFill="1" applyBorder="1" applyAlignment="1" applyProtection="1">
      <alignment horizontal="center" vertical="center" wrapText="1"/>
    </xf>
    <xf numFmtId="165" fontId="51" fillId="0" borderId="0" xfId="1" applyNumberFormat="1" applyFont="1" applyFill="1" applyBorder="1" applyAlignment="1" applyProtection="1">
      <alignment vertical="center" wrapText="1"/>
    </xf>
    <xf numFmtId="166" fontId="57" fillId="0" borderId="0" xfId="1" applyNumberFormat="1" applyFont="1" applyFill="1" applyBorder="1" applyAlignment="1" applyProtection="1">
      <alignment vertical="center" wrapText="1"/>
    </xf>
    <xf numFmtId="166" fontId="57" fillId="0" borderId="16" xfId="1" applyNumberFormat="1" applyFont="1" applyFill="1" applyBorder="1" applyAlignment="1" applyProtection="1">
      <alignment vertical="center" wrapText="1"/>
    </xf>
    <xf numFmtId="166" fontId="51" fillId="0" borderId="16" xfId="1" applyNumberFormat="1" applyFont="1" applyFill="1" applyBorder="1" applyAlignment="1" applyProtection="1">
      <alignment vertical="center" wrapText="1"/>
    </xf>
    <xf numFmtId="9" fontId="12" fillId="0" borderId="0" xfId="3" applyFont="1"/>
    <xf numFmtId="0" fontId="12" fillId="0" borderId="0" xfId="0" applyFont="1" applyAlignment="1">
      <alignment horizontal="center"/>
    </xf>
    <xf numFmtId="166" fontId="12" fillId="19" borderId="0" xfId="1" applyNumberFormat="1" applyFont="1" applyFill="1" applyAlignment="1">
      <alignment horizontal="center"/>
    </xf>
    <xf numFmtId="165" fontId="12" fillId="0" borderId="0" xfId="1" applyNumberFormat="1" applyFont="1"/>
    <xf numFmtId="166" fontId="12" fillId="0" borderId="0" xfId="1" applyNumberFormat="1" applyFont="1" applyFill="1" applyBorder="1" applyAlignment="1" applyProtection="1">
      <alignment vertical="center" wrapText="1"/>
    </xf>
    <xf numFmtId="166" fontId="12" fillId="0" borderId="0" xfId="1" applyNumberFormat="1" applyFont="1" applyFill="1" applyBorder="1"/>
    <xf numFmtId="166" fontId="12" fillId="0" borderId="0" xfId="0" applyNumberFormat="1" applyFont="1"/>
    <xf numFmtId="166" fontId="9" fillId="0" borderId="0" xfId="1" applyNumberFormat="1" applyFont="1" applyFill="1" applyAlignment="1">
      <alignment horizontal="center"/>
    </xf>
    <xf numFmtId="0" fontId="9" fillId="0" borderId="0" xfId="0" applyFont="1"/>
    <xf numFmtId="166" fontId="9" fillId="0" borderId="0" xfId="1" applyNumberFormat="1" applyFont="1" applyFill="1"/>
    <xf numFmtId="43" fontId="51" fillId="0" borderId="0" xfId="1" applyFont="1" applyFill="1" applyBorder="1" applyAlignment="1" applyProtection="1">
      <alignment vertical="center" wrapText="1"/>
    </xf>
    <xf numFmtId="0" fontId="72" fillId="18" borderId="0" xfId="0" applyFont="1" applyFill="1"/>
    <xf numFmtId="0" fontId="62" fillId="18" borderId="0" xfId="0" applyFont="1" applyFill="1"/>
    <xf numFmtId="0" fontId="14" fillId="0" borderId="4" xfId="0" applyFont="1" applyBorder="1" applyAlignment="1">
      <alignment horizontal="center"/>
    </xf>
    <xf numFmtId="166" fontId="14" fillId="0" borderId="4" xfId="0" applyNumberFormat="1" applyFont="1" applyBorder="1"/>
    <xf numFmtId="166" fontId="14" fillId="0" borderId="4" xfId="0" applyNumberFormat="1" applyFont="1" applyBorder="1" applyAlignment="1">
      <alignment horizontal="center"/>
    </xf>
    <xf numFmtId="166" fontId="14" fillId="0" borderId="0" xfId="0" applyNumberFormat="1" applyFont="1"/>
    <xf numFmtId="166" fontId="20" fillId="0" borderId="0" xfId="0" applyNumberFormat="1" applyFont="1"/>
    <xf numFmtId="0" fontId="14" fillId="0" borderId="0" xfId="0" applyFont="1" applyBorder="1"/>
    <xf numFmtId="166" fontId="44" fillId="19" borderId="25" xfId="1" applyNumberFormat="1" applyFont="1" applyFill="1" applyBorder="1" applyAlignment="1">
      <alignment horizontal="center"/>
    </xf>
    <xf numFmtId="166" fontId="44" fillId="19" borderId="26" xfId="1" applyNumberFormat="1" applyFont="1" applyFill="1" applyBorder="1" applyAlignment="1">
      <alignment horizontal="center"/>
    </xf>
    <xf numFmtId="0" fontId="44" fillId="18" borderId="0" xfId="0" applyFont="1" applyFill="1" applyAlignment="1">
      <alignment horizontal="center"/>
    </xf>
    <xf numFmtId="165" fontId="73" fillId="10" borderId="4" xfId="1" applyNumberFormat="1" applyFont="1" applyFill="1" applyBorder="1"/>
    <xf numFmtId="0" fontId="63" fillId="0" borderId="0" xfId="0" applyFont="1"/>
    <xf numFmtId="0" fontId="72" fillId="0" borderId="0" xfId="0" applyFont="1"/>
    <xf numFmtId="166" fontId="57" fillId="19" borderId="0" xfId="1" applyNumberFormat="1" applyFont="1" applyFill="1" applyAlignment="1">
      <alignment horizontal="center"/>
    </xf>
    <xf numFmtId="0" fontId="45" fillId="0" borderId="4" xfId="0" applyFont="1" applyBorder="1"/>
    <xf numFmtId="0" fontId="59" fillId="18" borderId="4" xfId="2" applyFont="1" applyFill="1" applyBorder="1" applyAlignment="1" applyProtection="1">
      <alignment vertical="center" wrapText="1"/>
    </xf>
    <xf numFmtId="166" fontId="45" fillId="0" borderId="4" xfId="0" applyNumberFormat="1" applyFont="1" applyBorder="1"/>
    <xf numFmtId="166" fontId="45" fillId="19" borderId="17" xfId="1" applyNumberFormat="1" applyFont="1" applyFill="1" applyBorder="1" applyAlignment="1">
      <alignment horizontal="center"/>
    </xf>
    <xf numFmtId="166" fontId="45" fillId="19" borderId="18" xfId="1" applyNumberFormat="1" applyFont="1" applyFill="1" applyBorder="1" applyAlignment="1">
      <alignment horizontal="center"/>
    </xf>
    <xf numFmtId="166" fontId="59" fillId="19" borderId="17" xfId="1" applyNumberFormat="1" applyFont="1" applyFill="1" applyBorder="1" applyAlignment="1">
      <alignment horizontal="center"/>
    </xf>
    <xf numFmtId="166" fontId="59" fillId="19" borderId="18" xfId="1" applyNumberFormat="1" applyFont="1" applyFill="1" applyBorder="1" applyAlignment="1">
      <alignment horizontal="center"/>
    </xf>
    <xf numFmtId="0" fontId="54" fillId="0" borderId="0" xfId="0" applyFont="1"/>
    <xf numFmtId="22" fontId="44" fillId="0" borderId="0" xfId="0" applyNumberFormat="1" applyFont="1"/>
    <xf numFmtId="0" fontId="9" fillId="0" borderId="4" xfId="2" applyFont="1" applyFill="1" applyBorder="1" applyAlignment="1" applyProtection="1">
      <alignment horizontal="center" vertical="center" wrapText="1"/>
    </xf>
    <xf numFmtId="0" fontId="74" fillId="9" borderId="4" xfId="0" applyFont="1" applyFill="1" applyBorder="1"/>
    <xf numFmtId="0" fontId="75" fillId="9" borderId="4" xfId="0" applyFont="1" applyFill="1" applyBorder="1"/>
    <xf numFmtId="0" fontId="26" fillId="9" borderId="4" xfId="0" applyFont="1" applyFill="1" applyBorder="1"/>
    <xf numFmtId="0" fontId="76" fillId="9" borderId="4" xfId="0" applyFont="1" applyFill="1" applyBorder="1"/>
    <xf numFmtId="166" fontId="45" fillId="19" borderId="19" xfId="1" applyNumberFormat="1" applyFont="1" applyFill="1" applyBorder="1" applyAlignment="1">
      <alignment horizontal="center"/>
    </xf>
    <xf numFmtId="166" fontId="45" fillId="19" borderId="20" xfId="1" applyNumberFormat="1" applyFont="1" applyFill="1" applyBorder="1" applyAlignment="1">
      <alignment horizontal="center"/>
    </xf>
    <xf numFmtId="0" fontId="9" fillId="0" borderId="8" xfId="2" applyFont="1" applyFill="1" applyBorder="1" applyAlignment="1" applyProtection="1">
      <alignment horizontal="center" vertical="center" wrapText="1"/>
    </xf>
    <xf numFmtId="0" fontId="9" fillId="0" borderId="9" xfId="2" applyFont="1" applyFill="1" applyBorder="1" applyAlignment="1" applyProtection="1">
      <alignment horizontal="center" vertical="center" wrapText="1"/>
    </xf>
    <xf numFmtId="0" fontId="9" fillId="0" borderId="4" xfId="2" applyFont="1" applyFill="1" applyBorder="1" applyAlignment="1" applyProtection="1">
      <alignment horizontal="center" vertical="center" wrapText="1"/>
    </xf>
    <xf numFmtId="0" fontId="74" fillId="0" borderId="0" xfId="0" applyFont="1"/>
    <xf numFmtId="0" fontId="49" fillId="0" borderId="4" xfId="0" applyFont="1" applyBorder="1"/>
    <xf numFmtId="0" fontId="63" fillId="10" borderId="4" xfId="0" applyFont="1" applyFill="1" applyBorder="1"/>
    <xf numFmtId="165" fontId="68" fillId="10" borderId="4" xfId="1" applyNumberFormat="1" applyFont="1" applyFill="1" applyBorder="1"/>
    <xf numFmtId="165" fontId="52" fillId="10" borderId="4" xfId="1" applyNumberFormat="1" applyFont="1" applyFill="1" applyBorder="1"/>
    <xf numFmtId="0" fontId="75" fillId="22" borderId="4" xfId="0" applyFont="1" applyFill="1" applyBorder="1"/>
    <xf numFmtId="0" fontId="74" fillId="22" borderId="4" xfId="0" applyFont="1" applyFill="1" applyBorder="1"/>
    <xf numFmtId="0" fontId="26" fillId="22" borderId="4" xfId="0" applyFont="1" applyFill="1" applyBorder="1"/>
    <xf numFmtId="0" fontId="9" fillId="0" borderId="4" xfId="2" applyFont="1" applyFill="1" applyBorder="1" applyAlignment="1" applyProtection="1">
      <alignment horizontal="center" vertical="center" wrapText="1"/>
    </xf>
    <xf numFmtId="166" fontId="4" fillId="11" borderId="4" xfId="1" applyNumberFormat="1" applyFont="1" applyFill="1" applyBorder="1"/>
    <xf numFmtId="0" fontId="71" fillId="0" borderId="0" xfId="0" applyFont="1"/>
    <xf numFmtId="165" fontId="4" fillId="11" borderId="8" xfId="1" applyNumberFormat="1" applyFont="1" applyFill="1" applyBorder="1" applyAlignment="1">
      <alignment horizontal="center"/>
    </xf>
    <xf numFmtId="165" fontId="4" fillId="11" borderId="9" xfId="1" applyNumberFormat="1" applyFont="1" applyFill="1" applyBorder="1" applyAlignment="1">
      <alignment horizontal="center"/>
    </xf>
    <xf numFmtId="165" fontId="4" fillId="11" borderId="4" xfId="1" applyNumberFormat="1" applyFont="1" applyFill="1" applyBorder="1"/>
    <xf numFmtId="165" fontId="79" fillId="10" borderId="8" xfId="1" applyNumberFormat="1" applyFont="1" applyFill="1" applyBorder="1" applyAlignment="1">
      <alignment horizontal="center"/>
    </xf>
    <xf numFmtId="165" fontId="79" fillId="10" borderId="9" xfId="1" applyNumberFormat="1" applyFont="1" applyFill="1" applyBorder="1" applyAlignment="1">
      <alignment horizontal="center"/>
    </xf>
    <xf numFmtId="165" fontId="79" fillId="10" borderId="7" xfId="1" applyNumberFormat="1" applyFont="1" applyFill="1" applyBorder="1"/>
    <xf numFmtId="165" fontId="79" fillId="10" borderId="8" xfId="1" applyNumberFormat="1" applyFont="1" applyFill="1" applyBorder="1"/>
    <xf numFmtId="165" fontId="79" fillId="10" borderId="9" xfId="1" applyNumberFormat="1" applyFont="1" applyFill="1" applyBorder="1"/>
    <xf numFmtId="165" fontId="79" fillId="10" borderId="10" xfId="1" applyNumberFormat="1" applyFont="1" applyFill="1" applyBorder="1"/>
    <xf numFmtId="166" fontId="45" fillId="19" borderId="23" xfId="1" applyNumberFormat="1" applyFont="1" applyFill="1" applyBorder="1" applyAlignment="1">
      <alignment horizontal="center"/>
    </xf>
    <xf numFmtId="166" fontId="45" fillId="19" borderId="24" xfId="1" applyNumberFormat="1" applyFont="1" applyFill="1" applyBorder="1" applyAlignment="1">
      <alignment horizontal="center"/>
    </xf>
    <xf numFmtId="0" fontId="8" fillId="18" borderId="0" xfId="0" applyFont="1" applyFill="1"/>
    <xf numFmtId="0" fontId="35" fillId="18" borderId="0" xfId="0" applyFont="1" applyFill="1"/>
    <xf numFmtId="3" fontId="0" fillId="0" borderId="0" xfId="0" applyNumberFormat="1"/>
    <xf numFmtId="3" fontId="17" fillId="5" borderId="3" xfId="0" applyNumberFormat="1" applyFont="1" applyFill="1" applyBorder="1" applyAlignment="1">
      <alignment horizontal="justify" vertical="justify" textRotation="180"/>
    </xf>
    <xf numFmtId="3" fontId="17" fillId="8" borderId="3" xfId="0" applyNumberFormat="1" applyFont="1" applyFill="1" applyBorder="1" applyAlignment="1">
      <alignment horizontal="justify" vertical="justify" textRotation="180"/>
    </xf>
    <xf numFmtId="0" fontId="26" fillId="19" borderId="0" xfId="0" applyFont="1" applyFill="1"/>
    <xf numFmtId="166" fontId="0" fillId="19" borderId="0" xfId="0" applyNumberFormat="1" applyFill="1"/>
    <xf numFmtId="176" fontId="45" fillId="19" borderId="17" xfId="1" applyNumberFormat="1" applyFont="1" applyFill="1" applyBorder="1" applyAlignment="1">
      <alignment horizontal="center"/>
    </xf>
    <xf numFmtId="176" fontId="59" fillId="19" borderId="17" xfId="1" applyNumberFormat="1" applyFont="1" applyFill="1" applyBorder="1" applyAlignment="1">
      <alignment horizontal="center"/>
    </xf>
    <xf numFmtId="176" fontId="45" fillId="19" borderId="23" xfId="1" applyNumberFormat="1" applyFont="1" applyFill="1" applyBorder="1" applyAlignment="1">
      <alignment horizontal="center"/>
    </xf>
    <xf numFmtId="176" fontId="45" fillId="19" borderId="19" xfId="1" applyNumberFormat="1" applyFont="1" applyFill="1" applyBorder="1" applyAlignment="1">
      <alignment horizontal="center"/>
    </xf>
    <xf numFmtId="176" fontId="44" fillId="19" borderId="23" xfId="1" applyNumberFormat="1" applyFont="1" applyFill="1" applyBorder="1" applyAlignment="1">
      <alignment horizontal="center"/>
    </xf>
    <xf numFmtId="176" fontId="44" fillId="19" borderId="25" xfId="1" applyNumberFormat="1" applyFont="1" applyFill="1" applyBorder="1" applyAlignment="1">
      <alignment horizontal="center"/>
    </xf>
    <xf numFmtId="176" fontId="44" fillId="19" borderId="0" xfId="0" applyNumberFormat="1" applyFont="1" applyFill="1" applyAlignment="1">
      <alignment horizontal="center"/>
    </xf>
    <xf numFmtId="0" fontId="0" fillId="28" borderId="0" xfId="0" applyFill="1"/>
    <xf numFmtId="0" fontId="18" fillId="28" borderId="4" xfId="2" applyFont="1" applyFill="1" applyBorder="1" applyAlignment="1" applyProtection="1">
      <alignment horizontal="center" vertical="center" wrapText="1"/>
    </xf>
    <xf numFmtId="0" fontId="17" fillId="28" borderId="6" xfId="0" applyFont="1" applyFill="1" applyBorder="1" applyAlignment="1">
      <alignment horizontal="justify" vertical="justify" textRotation="180"/>
    </xf>
    <xf numFmtId="0" fontId="22" fillId="28" borderId="6" xfId="0" applyFont="1" applyFill="1" applyBorder="1" applyAlignment="1">
      <alignment horizontal="justify" vertical="justify" textRotation="180"/>
    </xf>
    <xf numFmtId="166" fontId="17" fillId="28" borderId="3" xfId="0" applyNumberFormat="1" applyFont="1" applyFill="1" applyBorder="1" applyAlignment="1">
      <alignment horizontal="justify" vertical="justify" textRotation="180"/>
    </xf>
    <xf numFmtId="0" fontId="18" fillId="28" borderId="7" xfId="2" applyFont="1" applyFill="1" applyBorder="1" applyAlignment="1" applyProtection="1">
      <alignment horizontal="center" vertical="center" wrapText="1"/>
    </xf>
    <xf numFmtId="0" fontId="17" fillId="28" borderId="2" xfId="0" applyFont="1" applyFill="1" applyBorder="1" applyAlignment="1">
      <alignment horizontal="justify" vertical="justify" textRotation="180"/>
    </xf>
    <xf numFmtId="0" fontId="22" fillId="28" borderId="2" xfId="0" applyFont="1" applyFill="1" applyBorder="1" applyAlignment="1">
      <alignment horizontal="justify" vertical="justify" textRotation="180"/>
    </xf>
    <xf numFmtId="0" fontId="7" fillId="28" borderId="5" xfId="2" applyFont="1" applyFill="1" applyBorder="1" applyAlignment="1" applyProtection="1">
      <alignment vertical="center" wrapText="1"/>
    </xf>
    <xf numFmtId="0" fontId="4" fillId="28" borderId="5" xfId="2" applyFont="1" applyFill="1" applyBorder="1" applyAlignment="1" applyProtection="1">
      <alignment vertical="center" wrapText="1"/>
    </xf>
    <xf numFmtId="0" fontId="44" fillId="18" borderId="4" xfId="0" applyFont="1" applyFill="1" applyBorder="1" applyAlignment="1">
      <alignment horizontal="center"/>
    </xf>
    <xf numFmtId="0" fontId="44" fillId="19" borderId="4" xfId="0" applyFont="1" applyFill="1" applyBorder="1" applyAlignment="1">
      <alignment horizontal="center"/>
    </xf>
    <xf numFmtId="176" fontId="44" fillId="19" borderId="4" xfId="0" applyNumberFormat="1" applyFont="1" applyFill="1" applyBorder="1" applyAlignment="1">
      <alignment horizontal="center"/>
    </xf>
    <xf numFmtId="14" fontId="67" fillId="18" borderId="4" xfId="15" quotePrefix="1" applyNumberFormat="1" applyFont="1" applyFill="1" applyBorder="1" applyAlignment="1">
      <alignment horizontal="center" vertical="center"/>
    </xf>
    <xf numFmtId="14" fontId="59" fillId="18" borderId="4" xfId="2" applyNumberFormat="1" applyFont="1" applyFill="1" applyBorder="1" applyAlignment="1" applyProtection="1">
      <alignment vertical="center" wrapText="1"/>
    </xf>
    <xf numFmtId="166" fontId="45" fillId="18" borderId="17" xfId="1" applyNumberFormat="1" applyFont="1" applyFill="1" applyBorder="1" applyAlignment="1">
      <alignment horizontal="center"/>
    </xf>
    <xf numFmtId="166" fontId="45" fillId="18" borderId="18" xfId="1" applyNumberFormat="1" applyFont="1" applyFill="1" applyBorder="1" applyAlignment="1">
      <alignment horizontal="center"/>
    </xf>
    <xf numFmtId="166" fontId="59" fillId="18" borderId="17" xfId="1" applyNumberFormat="1" applyFont="1" applyFill="1" applyBorder="1" applyAlignment="1">
      <alignment horizontal="center"/>
    </xf>
    <xf numFmtId="166" fontId="59" fillId="18" borderId="18" xfId="1" applyNumberFormat="1" applyFont="1" applyFill="1" applyBorder="1" applyAlignment="1">
      <alignment horizontal="center"/>
    </xf>
    <xf numFmtId="14" fontId="59" fillId="18" borderId="4" xfId="2" quotePrefix="1" applyNumberFormat="1" applyFont="1" applyFill="1" applyBorder="1" applyAlignment="1" applyProtection="1">
      <alignment horizontal="right" vertical="center" wrapText="1"/>
    </xf>
    <xf numFmtId="14" fontId="59" fillId="0" borderId="4" xfId="2" applyNumberFormat="1" applyFont="1" applyFill="1" applyBorder="1" applyAlignment="1" applyProtection="1">
      <alignment vertical="center" wrapText="1"/>
    </xf>
    <xf numFmtId="14" fontId="59" fillId="0" borderId="4" xfId="2" quotePrefix="1" applyNumberFormat="1" applyFont="1" applyFill="1" applyBorder="1" applyAlignment="1" applyProtection="1">
      <alignment horizontal="right" vertical="center" wrapText="1"/>
    </xf>
    <xf numFmtId="166" fontId="45" fillId="18" borderId="23" xfId="1" applyNumberFormat="1" applyFont="1" applyFill="1" applyBorder="1" applyAlignment="1">
      <alignment horizontal="center"/>
    </xf>
    <xf numFmtId="166" fontId="45" fillId="18" borderId="24" xfId="1" applyNumberFormat="1" applyFont="1" applyFill="1" applyBorder="1" applyAlignment="1">
      <alignment horizontal="center"/>
    </xf>
    <xf numFmtId="166" fontId="45" fillId="18" borderId="19" xfId="1" applyNumberFormat="1" applyFont="1" applyFill="1" applyBorder="1" applyAlignment="1">
      <alignment horizontal="center"/>
    </xf>
    <xf numFmtId="166" fontId="45" fillId="18" borderId="20" xfId="1" applyNumberFormat="1" applyFont="1" applyFill="1" applyBorder="1" applyAlignment="1">
      <alignment horizontal="center"/>
    </xf>
    <xf numFmtId="14" fontId="67" fillId="0" borderId="1" xfId="2" applyNumberFormat="1" applyFont="1" applyFill="1" applyBorder="1" applyAlignment="1" applyProtection="1">
      <alignment vertical="center" wrapText="1"/>
    </xf>
    <xf numFmtId="166" fontId="44" fillId="18" borderId="23" xfId="1" applyNumberFormat="1" applyFont="1" applyFill="1" applyBorder="1" applyAlignment="1">
      <alignment horizontal="center"/>
    </xf>
    <xf numFmtId="166" fontId="44" fillId="18" borderId="24" xfId="1" applyNumberFormat="1" applyFont="1" applyFill="1" applyBorder="1" applyAlignment="1">
      <alignment horizontal="center"/>
    </xf>
    <xf numFmtId="14" fontId="67" fillId="0" borderId="4" xfId="2" quotePrefix="1" applyNumberFormat="1" applyFont="1" applyFill="1" applyBorder="1" applyAlignment="1" applyProtection="1">
      <alignment horizontal="right" vertical="center" wrapText="1"/>
    </xf>
    <xf numFmtId="166" fontId="44" fillId="18" borderId="25" xfId="1" applyNumberFormat="1" applyFont="1" applyFill="1" applyBorder="1" applyAlignment="1">
      <alignment horizontal="center"/>
    </xf>
    <xf numFmtId="166" fontId="44" fillId="18" borderId="26" xfId="1" applyNumberFormat="1" applyFont="1" applyFill="1" applyBorder="1" applyAlignment="1">
      <alignment horizontal="center"/>
    </xf>
    <xf numFmtId="14" fontId="44" fillId="0" borderId="4" xfId="0" applyNumberFormat="1" applyFont="1" applyBorder="1" applyAlignment="1">
      <alignment horizontal="right"/>
    </xf>
    <xf numFmtId="14" fontId="44" fillId="0" borderId="4" xfId="0" applyNumberFormat="1" applyFont="1" applyBorder="1"/>
    <xf numFmtId="0" fontId="44" fillId="0" borderId="0" xfId="0" applyFont="1" applyBorder="1" applyAlignment="1">
      <alignment horizontal="center" vertical="center"/>
    </xf>
    <xf numFmtId="176" fontId="44" fillId="0" borderId="0" xfId="0" applyNumberFormat="1" applyFont="1" applyBorder="1" applyAlignment="1">
      <alignment horizontal="center" vertical="center"/>
    </xf>
    <xf numFmtId="166" fontId="45" fillId="18" borderId="21" xfId="1" applyNumberFormat="1" applyFont="1" applyFill="1" applyBorder="1" applyAlignment="1">
      <alignment horizontal="center"/>
    </xf>
    <xf numFmtId="166" fontId="45" fillId="18" borderId="22" xfId="1" applyNumberFormat="1" applyFont="1" applyFill="1" applyBorder="1" applyAlignment="1">
      <alignment horizontal="center"/>
    </xf>
    <xf numFmtId="166" fontId="45" fillId="19" borderId="21" xfId="1" applyNumberFormat="1" applyFont="1" applyFill="1" applyBorder="1" applyAlignment="1">
      <alignment horizontal="center"/>
    </xf>
    <xf numFmtId="176" fontId="45" fillId="19" borderId="21" xfId="1" applyNumberFormat="1" applyFont="1" applyFill="1" applyBorder="1" applyAlignment="1">
      <alignment horizontal="center"/>
    </xf>
    <xf numFmtId="166" fontId="45" fillId="19" borderId="22" xfId="1" applyNumberFormat="1" applyFont="1" applyFill="1" applyBorder="1" applyAlignment="1">
      <alignment horizontal="center"/>
    </xf>
    <xf numFmtId="0" fontId="59" fillId="19" borderId="4" xfId="2" applyFont="1" applyFill="1" applyBorder="1" applyAlignment="1" applyProtection="1">
      <alignment vertical="center" wrapText="1"/>
    </xf>
    <xf numFmtId="14" fontId="59" fillId="19" borderId="4" xfId="2" applyNumberFormat="1" applyFont="1" applyFill="1" applyBorder="1" applyAlignment="1" applyProtection="1">
      <alignment vertical="center" wrapText="1"/>
    </xf>
    <xf numFmtId="166" fontId="45" fillId="19" borderId="4" xfId="0" applyNumberFormat="1" applyFont="1" applyFill="1" applyBorder="1"/>
    <xf numFmtId="0" fontId="45" fillId="19" borderId="0" xfId="0" applyFont="1" applyFill="1"/>
    <xf numFmtId="0" fontId="73" fillId="10" borderId="7" xfId="0" applyFont="1" applyFill="1" applyBorder="1" applyAlignment="1">
      <alignment horizontal="center"/>
    </xf>
    <xf numFmtId="0" fontId="7" fillId="28" borderId="6" xfId="2" applyFont="1" applyFill="1" applyBorder="1" applyAlignment="1" applyProtection="1">
      <alignment vertical="center" wrapText="1"/>
    </xf>
    <xf numFmtId="2" fontId="50" fillId="0" borderId="0" xfId="0" applyNumberFormat="1" applyFont="1"/>
    <xf numFmtId="43" fontId="18" fillId="0" borderId="8" xfId="1" applyFont="1" applyFill="1" applyBorder="1" applyAlignment="1" applyProtection="1">
      <alignment horizontal="center" vertical="center" wrapText="1"/>
    </xf>
    <xf numFmtId="43" fontId="17" fillId="8" borderId="2" xfId="1" applyFont="1" applyFill="1" applyBorder="1" applyAlignment="1">
      <alignment horizontal="justify" vertical="justify" textRotation="180"/>
    </xf>
    <xf numFmtId="166" fontId="18" fillId="0" borderId="8" xfId="1" applyNumberFormat="1" applyFont="1" applyFill="1" applyBorder="1" applyAlignment="1" applyProtection="1">
      <alignment horizontal="center" vertical="center" wrapText="1"/>
    </xf>
    <xf numFmtId="166" fontId="17" fillId="5" borderId="3" xfId="1" applyNumberFormat="1" applyFont="1" applyFill="1" applyBorder="1" applyAlignment="1">
      <alignment horizontal="justify" vertical="justify" textRotation="180"/>
    </xf>
    <xf numFmtId="166" fontId="17" fillId="8" borderId="2" xfId="1" applyNumberFormat="1" applyFont="1" applyFill="1" applyBorder="1" applyAlignment="1">
      <alignment horizontal="justify" vertical="justify" textRotation="180"/>
    </xf>
    <xf numFmtId="166" fontId="17" fillId="8" borderId="3" xfId="1" applyNumberFormat="1" applyFont="1" applyFill="1" applyBorder="1" applyAlignment="1">
      <alignment horizontal="justify" vertical="justify" textRotation="180"/>
    </xf>
    <xf numFmtId="166" fontId="49" fillId="0" borderId="0" xfId="1" applyNumberFormat="1" applyFont="1"/>
    <xf numFmtId="166" fontId="16" fillId="5" borderId="3" xfId="1" applyNumberFormat="1" applyFont="1" applyFill="1" applyBorder="1" applyAlignment="1">
      <alignment horizontal="justify" vertical="justify" textRotation="180"/>
    </xf>
    <xf numFmtId="166" fontId="16" fillId="8" borderId="3" xfId="1" applyNumberFormat="1" applyFont="1" applyFill="1" applyBorder="1" applyAlignment="1">
      <alignment horizontal="justify" vertical="justify" textRotation="180"/>
    </xf>
    <xf numFmtId="166" fontId="9" fillId="0" borderId="8" xfId="1" applyNumberFormat="1" applyFont="1" applyFill="1" applyBorder="1" applyAlignment="1" applyProtection="1">
      <alignment horizontal="center" vertical="center" wrapText="1"/>
    </xf>
    <xf numFmtId="166" fontId="16" fillId="8" borderId="2" xfId="1" applyNumberFormat="1" applyFont="1" applyFill="1" applyBorder="1" applyAlignment="1">
      <alignment horizontal="justify" vertical="justify" textRotation="180"/>
    </xf>
    <xf numFmtId="166" fontId="0" fillId="0" borderId="7" xfId="1" applyNumberFormat="1" applyFont="1" applyBorder="1"/>
    <xf numFmtId="0" fontId="14" fillId="0" borderId="0" xfId="0" applyFont="1" applyBorder="1" applyAlignment="1">
      <alignment horizontal="center"/>
    </xf>
    <xf numFmtId="166" fontId="14" fillId="0" borderId="0" xfId="0" applyNumberFormat="1" applyFont="1" applyBorder="1"/>
    <xf numFmtId="0" fontId="50" fillId="2" borderId="0" xfId="0" applyFont="1" applyFill="1"/>
    <xf numFmtId="0" fontId="57" fillId="10" borderId="4" xfId="2" applyFont="1" applyFill="1" applyBorder="1" applyAlignment="1" applyProtection="1">
      <alignment vertical="center" wrapText="1"/>
    </xf>
    <xf numFmtId="14" fontId="57" fillId="10" borderId="4" xfId="2" applyNumberFormat="1" applyFont="1" applyFill="1" applyBorder="1" applyAlignment="1" applyProtection="1">
      <alignment vertical="center" wrapText="1"/>
    </xf>
    <xf numFmtId="166" fontId="57" fillId="10" borderId="4" xfId="1" applyNumberFormat="1" applyFont="1" applyFill="1" applyBorder="1" applyAlignment="1" applyProtection="1">
      <alignment horizontal="center" vertical="center"/>
    </xf>
    <xf numFmtId="9" fontId="57" fillId="10" borderId="4" xfId="3" applyFont="1" applyFill="1" applyBorder="1" applyAlignment="1" applyProtection="1">
      <alignment horizontal="center" vertical="center"/>
    </xf>
    <xf numFmtId="166" fontId="57" fillId="10" borderId="4" xfId="1" applyNumberFormat="1" applyFont="1" applyFill="1" applyBorder="1" applyAlignment="1" applyProtection="1">
      <alignment vertical="center" wrapText="1"/>
    </xf>
    <xf numFmtId="0" fontId="57" fillId="10" borderId="4" xfId="2" applyFont="1" applyFill="1" applyBorder="1" applyAlignment="1" applyProtection="1">
      <alignment horizontal="center" vertical="center" wrapText="1"/>
    </xf>
    <xf numFmtId="166" fontId="57" fillId="10" borderId="4" xfId="1" applyNumberFormat="1" applyFont="1" applyFill="1" applyBorder="1" applyAlignment="1" applyProtection="1">
      <alignment horizontal="center" vertical="center" wrapText="1"/>
    </xf>
    <xf numFmtId="165" fontId="57" fillId="10" borderId="4" xfId="1" applyNumberFormat="1" applyFont="1" applyFill="1" applyBorder="1" applyAlignment="1" applyProtection="1">
      <alignment vertical="center" wrapText="1"/>
    </xf>
    <xf numFmtId="166" fontId="51" fillId="10" borderId="4" xfId="1" applyNumberFormat="1" applyFont="1" applyFill="1" applyBorder="1" applyAlignment="1" applyProtection="1">
      <alignment vertical="center" wrapText="1"/>
    </xf>
    <xf numFmtId="166" fontId="84" fillId="0" borderId="0" xfId="1" applyNumberFormat="1" applyFont="1" applyFill="1" applyBorder="1" applyAlignment="1" applyProtection="1">
      <alignment vertical="center" wrapText="1"/>
    </xf>
    <xf numFmtId="166" fontId="12" fillId="0" borderId="0" xfId="1" applyNumberFormat="1" applyFont="1" applyFill="1" applyAlignment="1">
      <alignment horizontal="center"/>
    </xf>
    <xf numFmtId="166" fontId="57" fillId="0" borderId="4" xfId="1" applyNumberFormat="1" applyFont="1" applyFill="1" applyBorder="1" applyAlignment="1" applyProtection="1">
      <alignment horizontal="center" vertical="center"/>
    </xf>
    <xf numFmtId="166" fontId="57" fillId="19" borderId="4" xfId="1" applyNumberFormat="1" applyFont="1" applyFill="1" applyBorder="1" applyAlignment="1" applyProtection="1">
      <alignment horizontal="center" vertical="center" wrapText="1"/>
    </xf>
    <xf numFmtId="0" fontId="57" fillId="0" borderId="4" xfId="2" applyFont="1" applyFill="1" applyBorder="1" applyAlignment="1" applyProtection="1">
      <alignment vertical="center" wrapText="1"/>
    </xf>
    <xf numFmtId="14" fontId="57" fillId="0" borderId="4" xfId="2" applyNumberFormat="1" applyFont="1" applyFill="1" applyBorder="1" applyAlignment="1" applyProtection="1">
      <alignment vertical="center" wrapText="1"/>
    </xf>
    <xf numFmtId="9" fontId="57" fillId="0" borderId="4" xfId="3" applyFont="1" applyFill="1" applyBorder="1" applyAlignment="1" applyProtection="1">
      <alignment horizontal="center" vertical="center"/>
    </xf>
    <xf numFmtId="166" fontId="57" fillId="0" borderId="4" xfId="1" applyNumberFormat="1" applyFont="1" applyFill="1" applyBorder="1" applyAlignment="1" applyProtection="1">
      <alignment vertical="center" wrapText="1"/>
    </xf>
    <xf numFmtId="0" fontId="57" fillId="0" borderId="4" xfId="2" applyFont="1" applyFill="1" applyBorder="1" applyAlignment="1" applyProtection="1">
      <alignment horizontal="center" vertical="center" wrapText="1"/>
    </xf>
    <xf numFmtId="166" fontId="57" fillId="24" borderId="4" xfId="1" applyNumberFormat="1" applyFont="1" applyFill="1" applyBorder="1" applyAlignment="1" applyProtection="1">
      <alignment vertical="center" wrapText="1"/>
    </xf>
    <xf numFmtId="166" fontId="51" fillId="0" borderId="4" xfId="1" applyNumberFormat="1" applyFont="1" applyFill="1" applyBorder="1" applyAlignment="1" applyProtection="1">
      <alignment vertical="center" wrapText="1"/>
    </xf>
    <xf numFmtId="0" fontId="0" fillId="18" borderId="4" xfId="0" applyFont="1" applyFill="1" applyBorder="1"/>
    <xf numFmtId="0" fontId="12" fillId="18" borderId="0" xfId="2" applyFont="1" applyFill="1" applyBorder="1" applyAlignment="1" applyProtection="1">
      <alignment vertical="center" wrapText="1"/>
    </xf>
    <xf numFmtId="166" fontId="82" fillId="0" borderId="0" xfId="1" applyNumberFormat="1" applyFont="1" applyBorder="1"/>
    <xf numFmtId="0" fontId="82" fillId="0" borderId="0" xfId="0" applyFont="1" applyBorder="1"/>
    <xf numFmtId="166" fontId="74" fillId="0" borderId="0" xfId="0" applyNumberFormat="1" applyFont="1"/>
    <xf numFmtId="0" fontId="53" fillId="18" borderId="4" xfId="2" applyFont="1" applyFill="1" applyBorder="1" applyAlignment="1" applyProtection="1">
      <alignment vertical="center" wrapText="1"/>
    </xf>
    <xf numFmtId="165" fontId="63" fillId="18" borderId="4" xfId="1" applyNumberFormat="1" applyFont="1" applyFill="1" applyBorder="1"/>
    <xf numFmtId="0" fontId="44" fillId="19" borderId="0" xfId="0" applyFont="1" applyFill="1"/>
    <xf numFmtId="0" fontId="44" fillId="29" borderId="4" xfId="0" applyFont="1" applyFill="1" applyBorder="1" applyAlignment="1">
      <alignment horizontal="center"/>
    </xf>
    <xf numFmtId="176" fontId="44" fillId="29" borderId="4" xfId="0" applyNumberFormat="1" applyFont="1" applyFill="1" applyBorder="1" applyAlignment="1">
      <alignment horizontal="center"/>
    </xf>
    <xf numFmtId="166" fontId="45" fillId="29" borderId="21" xfId="1" applyNumberFormat="1" applyFont="1" applyFill="1" applyBorder="1" applyAlignment="1">
      <alignment horizontal="center"/>
    </xf>
    <xf numFmtId="176" fontId="45" fillId="29" borderId="21" xfId="1" applyNumberFormat="1" applyFont="1" applyFill="1" applyBorder="1" applyAlignment="1">
      <alignment horizontal="center"/>
    </xf>
    <xf numFmtId="166" fontId="45" fillId="29" borderId="17" xfId="1" applyNumberFormat="1" applyFont="1" applyFill="1" applyBorder="1" applyAlignment="1">
      <alignment horizontal="center"/>
    </xf>
    <xf numFmtId="176" fontId="45" fillId="29" borderId="17" xfId="1" applyNumberFormat="1" applyFont="1" applyFill="1" applyBorder="1" applyAlignment="1">
      <alignment horizontal="center"/>
    </xf>
    <xf numFmtId="166" fontId="59" fillId="29" borderId="17" xfId="1" applyNumberFormat="1" applyFont="1" applyFill="1" applyBorder="1" applyAlignment="1">
      <alignment horizontal="center"/>
    </xf>
    <xf numFmtId="176" fontId="59" fillId="29" borderId="17" xfId="1" applyNumberFormat="1" applyFont="1" applyFill="1" applyBorder="1" applyAlignment="1">
      <alignment horizontal="center"/>
    </xf>
    <xf numFmtId="166" fontId="45" fillId="29" borderId="23" xfId="1" applyNumberFormat="1" applyFont="1" applyFill="1" applyBorder="1" applyAlignment="1">
      <alignment horizontal="center"/>
    </xf>
    <xf numFmtId="176" fontId="45" fillId="29" borderId="23" xfId="1" applyNumberFormat="1" applyFont="1" applyFill="1" applyBorder="1" applyAlignment="1">
      <alignment horizontal="center"/>
    </xf>
    <xf numFmtId="166" fontId="45" fillId="29" borderId="19" xfId="1" applyNumberFormat="1" applyFont="1" applyFill="1" applyBorder="1" applyAlignment="1">
      <alignment horizontal="center"/>
    </xf>
    <xf numFmtId="176" fontId="45" fillId="29" borderId="19" xfId="1" applyNumberFormat="1" applyFont="1" applyFill="1" applyBorder="1" applyAlignment="1">
      <alignment horizontal="center"/>
    </xf>
    <xf numFmtId="166" fontId="44" fillId="29" borderId="23" xfId="1" applyNumberFormat="1" applyFont="1" applyFill="1" applyBorder="1" applyAlignment="1">
      <alignment horizontal="center"/>
    </xf>
    <xf numFmtId="176" fontId="44" fillId="29" borderId="23" xfId="1" applyNumberFormat="1" applyFont="1" applyFill="1" applyBorder="1" applyAlignment="1">
      <alignment horizontal="center"/>
    </xf>
    <xf numFmtId="166" fontId="44" fillId="29" borderId="25" xfId="1" applyNumberFormat="1" applyFont="1" applyFill="1" applyBorder="1" applyAlignment="1">
      <alignment horizontal="center"/>
    </xf>
    <xf numFmtId="176" fontId="44" fillId="29" borderId="25" xfId="1" applyNumberFormat="1" applyFont="1" applyFill="1" applyBorder="1" applyAlignment="1">
      <alignment horizontal="center"/>
    </xf>
    <xf numFmtId="2" fontId="0" fillId="0" borderId="0" xfId="0" applyNumberFormat="1"/>
    <xf numFmtId="2" fontId="17" fillId="5" borderId="3" xfId="0" applyNumberFormat="1" applyFont="1" applyFill="1" applyBorder="1" applyAlignment="1">
      <alignment horizontal="justify" vertical="justify" textRotation="180"/>
    </xf>
    <xf numFmtId="0" fontId="49" fillId="18" borderId="0" xfId="0" applyFont="1" applyFill="1"/>
    <xf numFmtId="0" fontId="49" fillId="3" borderId="4" xfId="0" applyFont="1" applyFill="1" applyBorder="1"/>
    <xf numFmtId="0" fontId="49" fillId="3" borderId="0" xfId="0" applyFont="1" applyFill="1"/>
    <xf numFmtId="0" fontId="0" fillId="3" borderId="4" xfId="0" applyFont="1" applyFill="1" applyBorder="1"/>
    <xf numFmtId="0" fontId="0" fillId="3" borderId="0" xfId="0" applyFont="1" applyFill="1"/>
    <xf numFmtId="0" fontId="53" fillId="10" borderId="4" xfId="0" applyFont="1" applyFill="1" applyBorder="1"/>
    <xf numFmtId="0" fontId="52" fillId="10" borderId="4" xfId="2" applyFont="1" applyFill="1" applyBorder="1" applyAlignment="1" applyProtection="1">
      <alignment horizontal="center" vertical="center" wrapText="1"/>
    </xf>
    <xf numFmtId="0" fontId="53" fillId="3" borderId="4" xfId="2" applyFont="1" applyFill="1" applyBorder="1" applyAlignment="1" applyProtection="1">
      <alignment vertical="center" wrapText="1"/>
    </xf>
    <xf numFmtId="165" fontId="63" fillId="3" borderId="4" xfId="1" applyNumberFormat="1" applyFont="1" applyFill="1" applyBorder="1"/>
    <xf numFmtId="0" fontId="50" fillId="3" borderId="0" xfId="0" applyFont="1" applyFill="1"/>
    <xf numFmtId="0" fontId="63" fillId="18" borderId="4" xfId="0" applyFont="1" applyFill="1" applyBorder="1"/>
    <xf numFmtId="0" fontId="51" fillId="18" borderId="4" xfId="2" applyFont="1" applyFill="1" applyBorder="1" applyAlignment="1" applyProtection="1">
      <alignment horizontal="center" vertical="center" wrapText="1"/>
    </xf>
    <xf numFmtId="0" fontId="52" fillId="3" borderId="4" xfId="2" applyFont="1" applyFill="1" applyBorder="1" applyAlignment="1" applyProtection="1">
      <alignment vertical="center" wrapText="1"/>
    </xf>
    <xf numFmtId="0" fontId="51" fillId="3" borderId="4" xfId="2" applyFont="1" applyFill="1" applyBorder="1" applyAlignment="1" applyProtection="1">
      <alignment vertical="center" wrapText="1"/>
    </xf>
    <xf numFmtId="0" fontId="68" fillId="3" borderId="4" xfId="2" applyFont="1" applyFill="1" applyBorder="1" applyAlignment="1" applyProtection="1">
      <alignment vertical="center" wrapText="1"/>
    </xf>
    <xf numFmtId="0" fontId="45" fillId="0" borderId="0" xfId="0" applyFont="1" applyAlignment="1">
      <alignment horizontal="center"/>
    </xf>
    <xf numFmtId="0" fontId="14" fillId="18" borderId="0" xfId="0" applyFont="1" applyFill="1"/>
    <xf numFmtId="0" fontId="50" fillId="0" borderId="4" xfId="0" applyFont="1" applyBorder="1"/>
    <xf numFmtId="0" fontId="77" fillId="0" borderId="4" xfId="0" applyFont="1" applyBorder="1"/>
    <xf numFmtId="0" fontId="77" fillId="18" borderId="4" xfId="0" applyFont="1" applyFill="1" applyBorder="1"/>
    <xf numFmtId="0" fontId="78" fillId="18" borderId="0" xfId="0" applyFont="1" applyFill="1" applyBorder="1" applyAlignment="1">
      <alignment horizontal="center" vertical="center"/>
    </xf>
    <xf numFmtId="165" fontId="73" fillId="10" borderId="1" xfId="1" applyNumberFormat="1" applyFont="1" applyFill="1" applyBorder="1"/>
    <xf numFmtId="0" fontId="85" fillId="0" borderId="0" xfId="0" applyFont="1" applyAlignment="1">
      <alignment horizontal="center"/>
    </xf>
    <xf numFmtId="166" fontId="57" fillId="13" borderId="0" xfId="1" applyNumberFormat="1" applyFont="1" applyFill="1"/>
    <xf numFmtId="0" fontId="54" fillId="3" borderId="0" xfId="0" applyFont="1" applyFill="1"/>
    <xf numFmtId="177" fontId="50" fillId="0" borderId="0" xfId="0" applyNumberFormat="1" applyFont="1"/>
    <xf numFmtId="14" fontId="57" fillId="27" borderId="0" xfId="1" applyNumberFormat="1" applyFont="1" applyFill="1"/>
    <xf numFmtId="166" fontId="52" fillId="10" borderId="7" xfId="9" applyNumberFormat="1" applyFont="1" applyFill="1" applyBorder="1" applyAlignment="1" applyProtection="1">
      <alignment vertical="center"/>
      <protection hidden="1"/>
    </xf>
    <xf numFmtId="166" fontId="14" fillId="0" borderId="0" xfId="1" applyNumberFormat="1" applyFont="1" applyBorder="1" applyAlignment="1">
      <alignment horizontal="right"/>
    </xf>
    <xf numFmtId="0" fontId="44" fillId="7" borderId="4" xfId="0" applyFont="1" applyFill="1" applyBorder="1"/>
    <xf numFmtId="14" fontId="44" fillId="7" borderId="4" xfId="0" applyNumberFormat="1" applyFont="1" applyFill="1" applyBorder="1"/>
    <xf numFmtId="0" fontId="44" fillId="7" borderId="4" xfId="0" applyFont="1" applyFill="1" applyBorder="1" applyAlignment="1">
      <alignment horizontal="center"/>
    </xf>
    <xf numFmtId="176" fontId="44" fillId="7" borderId="4" xfId="0" applyNumberFormat="1" applyFont="1" applyFill="1" applyBorder="1" applyAlignment="1">
      <alignment horizontal="center"/>
    </xf>
    <xf numFmtId="166" fontId="45" fillId="7" borderId="4" xfId="0" applyNumberFormat="1" applyFont="1" applyFill="1" applyBorder="1"/>
    <xf numFmtId="0" fontId="44" fillId="7" borderId="0" xfId="0" applyFont="1" applyFill="1"/>
    <xf numFmtId="14" fontId="67" fillId="7" borderId="4" xfId="15" quotePrefix="1" applyNumberFormat="1" applyFont="1" applyFill="1" applyBorder="1" applyAlignment="1">
      <alignment horizontal="center" vertical="center"/>
    </xf>
    <xf numFmtId="0" fontId="59" fillId="7" borderId="4" xfId="2" applyFont="1" applyFill="1" applyBorder="1" applyAlignment="1" applyProtection="1">
      <alignment vertical="center" wrapText="1"/>
    </xf>
    <xf numFmtId="14" fontId="59" fillId="7" borderId="4" xfId="2" quotePrefix="1" applyNumberFormat="1" applyFont="1" applyFill="1" applyBorder="1" applyAlignment="1" applyProtection="1">
      <alignment horizontal="right" vertical="center" wrapText="1"/>
    </xf>
    <xf numFmtId="166" fontId="45" fillId="7" borderId="23" xfId="1" applyNumberFormat="1" applyFont="1" applyFill="1" applyBorder="1" applyAlignment="1">
      <alignment horizontal="center"/>
    </xf>
    <xf numFmtId="166" fontId="45" fillId="7" borderId="24" xfId="1" applyNumberFormat="1" applyFont="1" applyFill="1" applyBorder="1" applyAlignment="1">
      <alignment horizontal="center"/>
    </xf>
    <xf numFmtId="176" fontId="45" fillId="7" borderId="23" xfId="1" applyNumberFormat="1" applyFont="1" applyFill="1" applyBorder="1" applyAlignment="1">
      <alignment horizontal="center"/>
    </xf>
    <xf numFmtId="0" fontId="45" fillId="7" borderId="0" xfId="0" applyFont="1" applyFill="1"/>
    <xf numFmtId="0" fontId="44" fillId="18" borderId="4" xfId="0" applyFont="1" applyFill="1" applyBorder="1" applyAlignment="1">
      <alignment horizontal="center"/>
    </xf>
    <xf numFmtId="43" fontId="7" fillId="0" borderId="4" xfId="1" applyNumberFormat="1" applyFont="1" applyFill="1" applyBorder="1" applyAlignment="1" applyProtection="1">
      <alignment vertical="center" wrapText="1"/>
    </xf>
    <xf numFmtId="0" fontId="63" fillId="10" borderId="27" xfId="0" applyFont="1" applyFill="1" applyBorder="1" applyAlignment="1">
      <alignment horizontal="center" vertical="center"/>
    </xf>
    <xf numFmtId="165" fontId="63" fillId="3" borderId="0" xfId="1" applyNumberFormat="1" applyFont="1" applyFill="1" applyBorder="1"/>
    <xf numFmtId="165" fontId="63" fillId="18" borderId="0" xfId="1" applyNumberFormat="1" applyFont="1" applyFill="1" applyBorder="1"/>
    <xf numFmtId="0" fontId="67" fillId="18" borderId="4" xfId="2" applyFont="1" applyFill="1" applyBorder="1" applyAlignment="1" applyProtection="1">
      <alignment vertical="center" wrapText="1"/>
    </xf>
    <xf numFmtId="0" fontId="67" fillId="0" borderId="4" xfId="2" applyFont="1" applyFill="1" applyBorder="1" applyAlignment="1" applyProtection="1">
      <alignment vertical="center" wrapText="1"/>
    </xf>
    <xf numFmtId="0" fontId="67" fillId="0" borderId="4" xfId="0" applyFont="1" applyFill="1" applyBorder="1"/>
    <xf numFmtId="0" fontId="67" fillId="21" borderId="4" xfId="2" applyFont="1" applyFill="1" applyBorder="1" applyAlignment="1" applyProtection="1">
      <alignment vertical="center" wrapText="1"/>
    </xf>
    <xf numFmtId="0" fontId="67" fillId="21" borderId="4" xfId="0" applyFont="1" applyFill="1" applyBorder="1"/>
    <xf numFmtId="0" fontId="67" fillId="0" borderId="4" xfId="2" applyFont="1" applyFill="1" applyBorder="1" applyAlignment="1" applyProtection="1">
      <alignment horizontal="center" vertical="center" wrapText="1"/>
    </xf>
    <xf numFmtId="0" fontId="67" fillId="21" borderId="4" xfId="2" applyFont="1" applyFill="1" applyBorder="1" applyAlignment="1" applyProtection="1">
      <alignment horizontal="center" vertical="center" wrapText="1"/>
    </xf>
    <xf numFmtId="0" fontId="67" fillId="0" borderId="4" xfId="0" applyFont="1" applyBorder="1"/>
    <xf numFmtId="166" fontId="67" fillId="0" borderId="4" xfId="19" applyNumberFormat="1" applyFont="1" applyFill="1" applyBorder="1" applyAlignment="1" applyProtection="1">
      <alignment horizontal="center" vertical="center"/>
    </xf>
    <xf numFmtId="166" fontId="67" fillId="0" borderId="4" xfId="1" applyNumberFormat="1" applyFont="1" applyFill="1" applyBorder="1" applyAlignment="1" applyProtection="1">
      <alignment horizontal="center" vertical="center" wrapText="1"/>
    </xf>
    <xf numFmtId="166" fontId="67" fillId="21" borderId="4" xfId="1" applyNumberFormat="1" applyFont="1" applyFill="1" applyBorder="1" applyAlignment="1" applyProtection="1">
      <alignment horizontal="center" vertical="center" wrapText="1"/>
    </xf>
    <xf numFmtId="166" fontId="67" fillId="21" borderId="4" xfId="1" applyNumberFormat="1" applyFont="1" applyFill="1" applyBorder="1" applyAlignment="1" applyProtection="1">
      <alignment vertical="center" wrapText="1"/>
    </xf>
    <xf numFmtId="166" fontId="67" fillId="0" borderId="4" xfId="1" applyNumberFormat="1" applyFont="1" applyFill="1" applyBorder="1" applyAlignment="1" applyProtection="1">
      <alignment vertical="center" wrapText="1"/>
    </xf>
    <xf numFmtId="166" fontId="67" fillId="18" borderId="4" xfId="1" applyNumberFormat="1" applyFont="1" applyFill="1" applyBorder="1" applyAlignment="1" applyProtection="1">
      <alignment horizontal="center" vertical="center" wrapText="1"/>
    </xf>
    <xf numFmtId="166" fontId="67" fillId="0" borderId="4" xfId="2" applyNumberFormat="1" applyFont="1" applyFill="1" applyBorder="1" applyAlignment="1" applyProtection="1">
      <alignment horizontal="center" vertical="center" wrapText="1"/>
    </xf>
    <xf numFmtId="0" fontId="51" fillId="18" borderId="0" xfId="2" applyFont="1" applyFill="1" applyBorder="1" applyAlignment="1" applyProtection="1">
      <alignment horizontal="center" vertical="center" wrapText="1"/>
    </xf>
    <xf numFmtId="0" fontId="67" fillId="18" borderId="0" xfId="2" applyFont="1" applyFill="1" applyBorder="1" applyAlignment="1" applyProtection="1">
      <alignment vertical="center" wrapText="1"/>
    </xf>
    <xf numFmtId="0" fontId="59" fillId="18" borderId="0" xfId="2" applyFont="1" applyFill="1" applyBorder="1" applyAlignment="1" applyProtection="1">
      <alignment horizontal="center" vertical="center" wrapText="1"/>
    </xf>
    <xf numFmtId="166" fontId="67" fillId="0" borderId="0" xfId="1" applyNumberFormat="1" applyFont="1" applyBorder="1"/>
    <xf numFmtId="0" fontId="67" fillId="0" borderId="0" xfId="0" applyFont="1" applyBorder="1"/>
    <xf numFmtId="166" fontId="67" fillId="0" borderId="0" xfId="1" applyNumberFormat="1" applyFont="1" applyBorder="1" applyAlignment="1">
      <alignment horizontal="center"/>
    </xf>
    <xf numFmtId="166" fontId="59" fillId="21" borderId="11" xfId="1" applyNumberFormat="1" applyFont="1" applyFill="1" applyBorder="1" applyAlignment="1" applyProtection="1">
      <alignment horizontal="center" vertical="center" wrapText="1"/>
    </xf>
    <xf numFmtId="0" fontId="59" fillId="21" borderId="11" xfId="2" applyFont="1" applyFill="1" applyBorder="1" applyAlignment="1" applyProtection="1">
      <alignment vertical="center" wrapText="1"/>
    </xf>
    <xf numFmtId="0" fontId="59" fillId="21" borderId="15" xfId="2" applyFont="1" applyFill="1" applyBorder="1" applyAlignment="1" applyProtection="1">
      <alignment vertical="center" wrapText="1"/>
    </xf>
    <xf numFmtId="0" fontId="67" fillId="18" borderId="4" xfId="2" applyFont="1" applyFill="1" applyBorder="1" applyAlignment="1" applyProtection="1">
      <alignment horizontal="left" vertical="center" wrapText="1"/>
    </xf>
    <xf numFmtId="166" fontId="67" fillId="18" borderId="4" xfId="1" applyNumberFormat="1" applyFont="1" applyFill="1" applyBorder="1" applyAlignment="1" applyProtection="1">
      <alignment horizontal="left" vertical="center" wrapText="1"/>
    </xf>
    <xf numFmtId="166" fontId="67" fillId="18" borderId="4" xfId="2" applyNumberFormat="1" applyFont="1" applyFill="1" applyBorder="1" applyAlignment="1" applyProtection="1">
      <alignment vertical="center" wrapText="1"/>
    </xf>
    <xf numFmtId="166" fontId="59" fillId="18" borderId="9" xfId="1" applyNumberFormat="1" applyFont="1" applyFill="1" applyBorder="1" applyAlignment="1" applyProtection="1">
      <alignment horizontal="center" vertical="center" wrapText="1"/>
    </xf>
    <xf numFmtId="166" fontId="45" fillId="0" borderId="4" xfId="1" applyNumberFormat="1" applyFont="1" applyBorder="1" applyAlignment="1"/>
    <xf numFmtId="166" fontId="45" fillId="0" borderId="9" xfId="1" applyNumberFormat="1" applyFont="1" applyBorder="1" applyAlignment="1"/>
    <xf numFmtId="0" fontId="59" fillId="18" borderId="0" xfId="2" applyFont="1" applyFill="1" applyBorder="1" applyAlignment="1" applyProtection="1">
      <alignment vertical="center" wrapText="1"/>
    </xf>
    <xf numFmtId="166" fontId="59" fillId="18" borderId="0" xfId="1" applyNumberFormat="1" applyFont="1" applyFill="1" applyBorder="1" applyAlignment="1" applyProtection="1">
      <alignment vertical="center" wrapText="1"/>
    </xf>
    <xf numFmtId="166" fontId="59" fillId="0" borderId="9" xfId="1" applyNumberFormat="1" applyFont="1" applyFill="1" applyBorder="1" applyAlignment="1" applyProtection="1">
      <alignment horizontal="center" vertical="center" wrapText="1"/>
    </xf>
    <xf numFmtId="166" fontId="9" fillId="0" borderId="0" xfId="1" applyNumberFormat="1" applyFont="1" applyFill="1" applyAlignment="1">
      <alignment horizontal="center"/>
    </xf>
    <xf numFmtId="0" fontId="14" fillId="0" borderId="0" xfId="0" applyFont="1" applyFill="1"/>
    <xf numFmtId="166" fontId="57" fillId="0" borderId="4" xfId="1" applyNumberFormat="1" applyFont="1" applyFill="1" applyBorder="1" applyAlignment="1" applyProtection="1">
      <alignment horizontal="center" vertical="center" wrapText="1"/>
    </xf>
    <xf numFmtId="165" fontId="57" fillId="0" borderId="4" xfId="1" applyNumberFormat="1" applyFont="1" applyFill="1" applyBorder="1" applyAlignment="1" applyProtection="1">
      <alignment vertical="center" wrapText="1"/>
    </xf>
    <xf numFmtId="0" fontId="72" fillId="0" borderId="0" xfId="0" applyFont="1" applyFill="1"/>
    <xf numFmtId="0" fontId="62" fillId="0" borderId="0" xfId="0" applyFont="1" applyFill="1"/>
    <xf numFmtId="0" fontId="9" fillId="0" borderId="0" xfId="0" applyFont="1" applyFill="1"/>
    <xf numFmtId="166" fontId="12" fillId="0" borderId="0" xfId="0" applyNumberFormat="1" applyFont="1" applyFill="1"/>
    <xf numFmtId="166" fontId="9" fillId="0" borderId="0" xfId="0" applyNumberFormat="1" applyFont="1" applyFill="1"/>
    <xf numFmtId="0" fontId="73" fillId="10" borderId="1" xfId="0" applyFont="1" applyFill="1" applyBorder="1" applyAlignment="1">
      <alignment horizontal="center" vertical="center"/>
    </xf>
    <xf numFmtId="165" fontId="63" fillId="0" borderId="4" xfId="1" applyNumberFormat="1" applyFont="1" applyFill="1" applyBorder="1"/>
    <xf numFmtId="0" fontId="77" fillId="0" borderId="0" xfId="0" applyFont="1" applyFill="1"/>
    <xf numFmtId="165" fontId="63" fillId="0" borderId="0" xfId="0" applyNumberFormat="1" applyFont="1"/>
    <xf numFmtId="177" fontId="63" fillId="0" borderId="0" xfId="0" applyNumberFormat="1" applyFont="1"/>
    <xf numFmtId="43" fontId="0" fillId="0" borderId="0" xfId="0" applyNumberFormat="1"/>
    <xf numFmtId="166" fontId="8" fillId="0" borderId="0" xfId="0" applyNumberFormat="1" applyFont="1"/>
    <xf numFmtId="0" fontId="74" fillId="0" borderId="0" xfId="0" applyFont="1" applyFill="1"/>
    <xf numFmtId="165" fontId="63" fillId="0" borderId="0" xfId="1" applyNumberFormat="1" applyFont="1" applyFill="1" applyBorder="1"/>
    <xf numFmtId="0" fontId="63" fillId="0" borderId="0" xfId="0" applyFont="1" applyFill="1"/>
    <xf numFmtId="165" fontId="59" fillId="29" borderId="17" xfId="1" applyNumberFormat="1" applyFont="1" applyFill="1" applyBorder="1" applyAlignment="1">
      <alignment horizontal="center"/>
    </xf>
    <xf numFmtId="0" fontId="50" fillId="0" borderId="0" xfId="0" applyFont="1" applyFill="1"/>
    <xf numFmtId="166" fontId="67" fillId="21" borderId="4" xfId="2" applyNumberFormat="1" applyFont="1" applyFill="1" applyBorder="1" applyAlignment="1" applyProtection="1">
      <alignment horizontal="center" vertical="center" wrapText="1"/>
    </xf>
    <xf numFmtId="14" fontId="83" fillId="0" borderId="4" xfId="0" applyNumberFormat="1" applyFont="1" applyBorder="1"/>
    <xf numFmtId="14" fontId="57" fillId="18" borderId="4" xfId="0" applyNumberFormat="1" applyFont="1" applyFill="1" applyBorder="1"/>
    <xf numFmtId="14" fontId="83" fillId="18" borderId="4" xfId="0" applyNumberFormat="1" applyFont="1" applyFill="1" applyBorder="1"/>
    <xf numFmtId="165" fontId="45" fillId="29" borderId="17" xfId="1" applyNumberFormat="1" applyFont="1" applyFill="1" applyBorder="1" applyAlignment="1">
      <alignment horizontal="center"/>
    </xf>
    <xf numFmtId="43" fontId="44" fillId="0" borderId="0" xfId="1" applyFont="1"/>
    <xf numFmtId="0" fontId="53" fillId="30" borderId="4" xfId="2" applyFont="1" applyFill="1" applyBorder="1" applyAlignment="1" applyProtection="1">
      <alignment vertical="center" wrapText="1"/>
    </xf>
    <xf numFmtId="0" fontId="53" fillId="5" borderId="4" xfId="2" applyFont="1" applyFill="1" applyBorder="1" applyAlignment="1" applyProtection="1">
      <alignment vertical="center" wrapText="1"/>
    </xf>
    <xf numFmtId="0" fontId="0" fillId="8" borderId="0" xfId="0" applyFill="1"/>
    <xf numFmtId="0" fontId="0" fillId="8" borderId="4" xfId="0" applyFill="1" applyBorder="1"/>
    <xf numFmtId="0" fontId="50" fillId="8" borderId="0" xfId="0" applyFont="1" applyFill="1"/>
    <xf numFmtId="0" fontId="52" fillId="8" borderId="4" xfId="2" applyFont="1" applyFill="1" applyBorder="1" applyAlignment="1" applyProtection="1">
      <alignment vertical="center" wrapText="1"/>
    </xf>
    <xf numFmtId="0" fontId="77" fillId="8" borderId="4" xfId="0" applyFont="1" applyFill="1" applyBorder="1"/>
    <xf numFmtId="0" fontId="49" fillId="8" borderId="4" xfId="0" applyFont="1" applyFill="1" applyBorder="1"/>
    <xf numFmtId="165" fontId="70" fillId="10" borderId="4" xfId="1" applyNumberFormat="1" applyFont="1" applyFill="1" applyBorder="1"/>
    <xf numFmtId="166" fontId="7" fillId="10" borderId="2" xfId="1" applyNumberFormat="1" applyFont="1" applyFill="1" applyBorder="1" applyAlignment="1" applyProtection="1">
      <alignment vertical="center" wrapText="1"/>
    </xf>
    <xf numFmtId="166" fontId="7" fillId="28" borderId="5" xfId="2" applyNumberFormat="1" applyFont="1" applyFill="1" applyBorder="1" applyAlignment="1" applyProtection="1">
      <alignment vertical="center" wrapText="1"/>
    </xf>
    <xf numFmtId="0" fontId="67" fillId="31" borderId="4" xfId="2" applyFont="1" applyFill="1" applyBorder="1" applyAlignment="1" applyProtection="1">
      <alignment horizontal="center" vertical="center" wrapText="1"/>
    </xf>
    <xf numFmtId="0" fontId="67" fillId="31" borderId="4" xfId="2" applyFont="1" applyFill="1" applyBorder="1" applyAlignment="1" applyProtection="1">
      <alignment vertical="center" wrapText="1"/>
    </xf>
    <xf numFmtId="166" fontId="67" fillId="31" borderId="4" xfId="1" applyNumberFormat="1" applyFont="1" applyFill="1" applyBorder="1" applyAlignment="1" applyProtection="1">
      <alignment horizontal="center" vertical="center" wrapText="1"/>
    </xf>
    <xf numFmtId="43" fontId="63" fillId="0" borderId="0" xfId="0" applyNumberFormat="1" applyFont="1"/>
    <xf numFmtId="166" fontId="63" fillId="18" borderId="0" xfId="1" applyNumberFormat="1" applyFont="1" applyFill="1" applyBorder="1"/>
    <xf numFmtId="165" fontId="77" fillId="0" borderId="0" xfId="0" applyNumberFormat="1" applyFont="1" applyFill="1"/>
    <xf numFmtId="43" fontId="50" fillId="0" borderId="0" xfId="0" applyNumberFormat="1" applyFont="1" applyFill="1"/>
    <xf numFmtId="0" fontId="44" fillId="18" borderId="4" xfId="0" applyFont="1" applyFill="1" applyBorder="1" applyAlignment="1">
      <alignment horizontal="center"/>
    </xf>
    <xf numFmtId="165" fontId="50" fillId="0" borderId="0" xfId="0" applyNumberFormat="1" applyFont="1" applyFill="1"/>
    <xf numFmtId="43" fontId="45" fillId="0" borderId="4" xfId="1" applyFont="1" applyBorder="1"/>
    <xf numFmtId="166" fontId="35" fillId="0" borderId="0" xfId="0" applyNumberFormat="1" applyFont="1"/>
    <xf numFmtId="0" fontId="0" fillId="3" borderId="0" xfId="0" applyFill="1"/>
    <xf numFmtId="0" fontId="44" fillId="29" borderId="7" xfId="0" applyFont="1" applyFill="1" applyBorder="1" applyAlignment="1">
      <alignment horizontal="center"/>
    </xf>
    <xf numFmtId="0" fontId="44" fillId="24" borderId="9" xfId="0" applyFont="1" applyFill="1" applyBorder="1" applyAlignment="1">
      <alignment horizontal="center"/>
    </xf>
    <xf numFmtId="0" fontId="44" fillId="24" borderId="4" xfId="0" applyFont="1" applyFill="1" applyBorder="1" applyAlignment="1">
      <alignment horizontal="center"/>
    </xf>
    <xf numFmtId="166" fontId="44" fillId="24" borderId="9" xfId="1" applyNumberFormat="1" applyFont="1" applyFill="1" applyBorder="1" applyAlignment="1">
      <alignment horizontal="center"/>
    </xf>
    <xf numFmtId="166" fontId="45" fillId="29" borderId="28" xfId="1" applyNumberFormat="1" applyFont="1" applyFill="1" applyBorder="1" applyAlignment="1">
      <alignment horizontal="center"/>
    </xf>
    <xf numFmtId="166" fontId="45" fillId="29" borderId="29" xfId="1" applyNumberFormat="1" applyFont="1" applyFill="1" applyBorder="1" applyAlignment="1">
      <alignment horizontal="center"/>
    </xf>
    <xf numFmtId="166" fontId="59" fillId="29" borderId="29" xfId="1" applyNumberFormat="1" applyFont="1" applyFill="1" applyBorder="1" applyAlignment="1">
      <alignment horizontal="center"/>
    </xf>
    <xf numFmtId="166" fontId="45" fillId="29" borderId="30" xfId="1" applyNumberFormat="1" applyFont="1" applyFill="1" applyBorder="1" applyAlignment="1">
      <alignment horizontal="center"/>
    </xf>
    <xf numFmtId="166" fontId="45" fillId="7" borderId="30" xfId="1" applyNumberFormat="1" applyFont="1" applyFill="1" applyBorder="1" applyAlignment="1">
      <alignment horizontal="center"/>
    </xf>
    <xf numFmtId="166" fontId="45" fillId="29" borderId="31" xfId="1" applyNumberFormat="1" applyFont="1" applyFill="1" applyBorder="1" applyAlignment="1">
      <alignment horizontal="center"/>
    </xf>
    <xf numFmtId="166" fontId="44" fillId="29" borderId="30" xfId="1" applyNumberFormat="1" applyFont="1" applyFill="1" applyBorder="1" applyAlignment="1">
      <alignment horizontal="center"/>
    </xf>
    <xf numFmtId="166" fontId="44" fillId="29" borderId="32" xfId="1" applyNumberFormat="1" applyFont="1" applyFill="1" applyBorder="1" applyAlignment="1">
      <alignment horizontal="center"/>
    </xf>
    <xf numFmtId="0" fontId="44" fillId="7" borderId="7" xfId="0" applyFont="1" applyFill="1" applyBorder="1" applyAlignment="1">
      <alignment horizontal="center"/>
    </xf>
    <xf numFmtId="166" fontId="45" fillId="0" borderId="9" xfId="0" applyNumberFormat="1" applyFont="1" applyBorder="1"/>
    <xf numFmtId="166" fontId="45" fillId="19" borderId="9" xfId="0" applyNumberFormat="1" applyFont="1" applyFill="1" applyBorder="1"/>
    <xf numFmtId="166" fontId="45" fillId="7" borderId="9" xfId="0" applyNumberFormat="1" applyFont="1" applyFill="1" applyBorder="1"/>
    <xf numFmtId="0" fontId="44" fillId="0" borderId="9" xfId="0" applyFont="1" applyBorder="1"/>
    <xf numFmtId="0" fontId="44" fillId="29" borderId="1" xfId="0" applyFont="1" applyFill="1" applyBorder="1" applyAlignment="1">
      <alignment horizontal="center"/>
    </xf>
    <xf numFmtId="0" fontId="44" fillId="24" borderId="1" xfId="0" applyFont="1" applyFill="1" applyBorder="1" applyAlignment="1">
      <alignment horizontal="center"/>
    </xf>
    <xf numFmtId="166" fontId="45" fillId="29" borderId="4" xfId="1" applyNumberFormat="1" applyFont="1" applyFill="1" applyBorder="1" applyAlignment="1">
      <alignment horizontal="center"/>
    </xf>
    <xf numFmtId="166" fontId="45" fillId="24" borderId="4" xfId="1" applyNumberFormat="1" applyFont="1" applyFill="1" applyBorder="1" applyAlignment="1">
      <alignment horizontal="center"/>
    </xf>
    <xf numFmtId="166" fontId="59" fillId="29" borderId="4" xfId="1" applyNumberFormat="1" applyFont="1" applyFill="1" applyBorder="1" applyAlignment="1">
      <alignment horizontal="center"/>
    </xf>
    <xf numFmtId="166" fontId="59" fillId="24" borderId="4" xfId="1" applyNumberFormat="1" applyFont="1" applyFill="1" applyBorder="1" applyAlignment="1">
      <alignment horizontal="center"/>
    </xf>
    <xf numFmtId="166" fontId="45" fillId="7" borderId="4" xfId="1" applyNumberFormat="1" applyFont="1" applyFill="1" applyBorder="1" applyAlignment="1">
      <alignment horizontal="center"/>
    </xf>
    <xf numFmtId="166" fontId="44" fillId="29" borderId="4" xfId="1" applyNumberFormat="1" applyFont="1" applyFill="1" applyBorder="1" applyAlignment="1">
      <alignment horizontal="center"/>
    </xf>
    <xf numFmtId="166" fontId="44" fillId="24" borderId="4" xfId="1" applyNumberFormat="1" applyFont="1" applyFill="1" applyBorder="1" applyAlignment="1">
      <alignment horizontal="center"/>
    </xf>
    <xf numFmtId="166" fontId="45" fillId="24" borderId="9" xfId="1" applyNumberFormat="1" applyFont="1" applyFill="1" applyBorder="1" applyAlignment="1">
      <alignment horizontal="center"/>
    </xf>
    <xf numFmtId="166" fontId="59" fillId="24" borderId="9" xfId="1" applyNumberFormat="1" applyFont="1" applyFill="1" applyBorder="1" applyAlignment="1">
      <alignment horizontal="center"/>
    </xf>
    <xf numFmtId="9" fontId="14" fillId="13" borderId="4" xfId="3" applyFont="1" applyFill="1" applyBorder="1" applyAlignment="1">
      <alignment horizontal="justify" vertical="justify"/>
    </xf>
    <xf numFmtId="165" fontId="14" fillId="10" borderId="4" xfId="1" applyNumberFormat="1" applyFont="1" applyFill="1" applyBorder="1" applyAlignment="1">
      <alignment horizontal="justify" vertical="justify"/>
    </xf>
    <xf numFmtId="0" fontId="57" fillId="8" borderId="4" xfId="2" applyFont="1" applyFill="1" applyBorder="1" applyAlignment="1" applyProtection="1">
      <alignment vertical="center" wrapText="1"/>
    </xf>
    <xf numFmtId="166" fontId="45" fillId="0" borderId="4" xfId="0" applyNumberFormat="1" applyFont="1" applyFill="1" applyBorder="1"/>
    <xf numFmtId="0" fontId="44" fillId="29" borderId="7" xfId="0" applyFont="1" applyFill="1" applyBorder="1" applyAlignment="1">
      <alignment horizontal="center"/>
    </xf>
    <xf numFmtId="0" fontId="44" fillId="18" borderId="4" xfId="0" applyFont="1" applyFill="1" applyBorder="1" applyAlignment="1">
      <alignment horizontal="center"/>
    </xf>
    <xf numFmtId="0" fontId="67" fillId="18" borderId="4" xfId="2" applyFont="1" applyFill="1" applyBorder="1" applyAlignment="1" applyProtection="1">
      <alignment horizontal="center" vertical="center" wrapText="1"/>
    </xf>
    <xf numFmtId="166" fontId="67" fillId="0" borderId="0" xfId="1" applyNumberFormat="1" applyFont="1" applyBorder="1" applyAlignment="1">
      <alignment horizontal="center"/>
    </xf>
    <xf numFmtId="0" fontId="59" fillId="18" borderId="0" xfId="2" applyFont="1" applyFill="1" applyBorder="1" applyAlignment="1" applyProtection="1">
      <alignment horizontal="center" vertical="center" wrapText="1"/>
    </xf>
    <xf numFmtId="166" fontId="0" fillId="0" borderId="0" xfId="0" applyNumberFormat="1" applyFill="1"/>
    <xf numFmtId="0" fontId="88" fillId="21" borderId="4" xfId="2" applyFont="1" applyFill="1" applyBorder="1" applyAlignment="1" applyProtection="1">
      <alignment horizontal="center" vertical="center" wrapText="1"/>
    </xf>
    <xf numFmtId="166" fontId="88" fillId="21" borderId="4" xfId="1" applyNumberFormat="1" applyFont="1" applyFill="1" applyBorder="1" applyAlignment="1" applyProtection="1">
      <alignment horizontal="center" vertical="center" wrapText="1"/>
    </xf>
    <xf numFmtId="0" fontId="59" fillId="21" borderId="4" xfId="2" applyFont="1" applyFill="1" applyBorder="1" applyAlignment="1" applyProtection="1">
      <alignment horizontal="center" vertical="center" wrapText="1"/>
    </xf>
    <xf numFmtId="0" fontId="67" fillId="0" borderId="4" xfId="2" applyFont="1" applyFill="1" applyBorder="1" applyAlignment="1" applyProtection="1">
      <alignment horizontal="left" vertical="center" wrapText="1"/>
    </xf>
    <xf numFmtId="166" fontId="82" fillId="0" borderId="0" xfId="1" applyNumberFormat="1" applyFont="1" applyBorder="1" applyAlignment="1">
      <alignment horizontal="center"/>
    </xf>
    <xf numFmtId="0" fontId="49" fillId="0" borderId="0" xfId="0" applyFont="1" applyAlignment="1">
      <alignment horizontal="center"/>
    </xf>
    <xf numFmtId="0" fontId="12" fillId="18" borderId="0" xfId="2" applyFont="1" applyFill="1" applyBorder="1" applyAlignment="1" applyProtection="1">
      <alignment horizontal="center" vertical="center" wrapText="1"/>
    </xf>
    <xf numFmtId="0" fontId="67" fillId="18" borderId="0" xfId="2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 vertical="center"/>
    </xf>
    <xf numFmtId="165" fontId="7" fillId="21" borderId="4" xfId="1" applyNumberFormat="1" applyFont="1" applyFill="1" applyBorder="1" applyAlignment="1" applyProtection="1">
      <alignment vertical="center" wrapText="1"/>
    </xf>
    <xf numFmtId="166" fontId="9" fillId="0" borderId="0" xfId="0" applyNumberFormat="1" applyFont="1"/>
    <xf numFmtId="0" fontId="53" fillId="0" borderId="0" xfId="2" applyFont="1" applyFill="1" applyBorder="1" applyAlignment="1" applyProtection="1">
      <alignment vertical="center" wrapText="1"/>
    </xf>
    <xf numFmtId="165" fontId="52" fillId="0" borderId="0" xfId="1" applyNumberFormat="1" applyFont="1" applyFill="1" applyBorder="1"/>
    <xf numFmtId="165" fontId="73" fillId="0" borderId="0" xfId="1" applyNumberFormat="1" applyFont="1" applyFill="1" applyBorder="1"/>
    <xf numFmtId="0" fontId="44" fillId="18" borderId="9" xfId="0" applyFont="1" applyFill="1" applyBorder="1" applyAlignment="1">
      <alignment horizontal="center"/>
    </xf>
    <xf numFmtId="14" fontId="67" fillId="18" borderId="4" xfId="2" applyNumberFormat="1" applyFont="1" applyFill="1" applyBorder="1" applyAlignment="1" applyProtection="1">
      <alignment vertical="center" wrapText="1"/>
    </xf>
    <xf numFmtId="0" fontId="51" fillId="0" borderId="4" xfId="2" applyFont="1" applyFill="1" applyBorder="1" applyAlignment="1" applyProtection="1">
      <alignment vertical="center" wrapText="1"/>
    </xf>
    <xf numFmtId="0" fontId="57" fillId="0" borderId="1" xfId="2" applyFont="1" applyFill="1" applyBorder="1" applyAlignment="1" applyProtection="1">
      <alignment vertical="center" wrapText="1"/>
    </xf>
    <xf numFmtId="0" fontId="57" fillId="18" borderId="1" xfId="2" applyFont="1" applyFill="1" applyBorder="1" applyAlignment="1" applyProtection="1">
      <alignment vertical="center" wrapText="1"/>
    </xf>
    <xf numFmtId="0" fontId="0" fillId="0" borderId="1" xfId="0" applyBorder="1"/>
    <xf numFmtId="165" fontId="63" fillId="19" borderId="4" xfId="1" applyNumberFormat="1" applyFont="1" applyFill="1" applyBorder="1"/>
    <xf numFmtId="0" fontId="67" fillId="18" borderId="4" xfId="2" applyFont="1" applyFill="1" applyBorder="1" applyAlignment="1" applyProtection="1">
      <alignment horizontal="center" vertical="center" wrapText="1"/>
    </xf>
    <xf numFmtId="166" fontId="50" fillId="0" borderId="0" xfId="1" applyNumberFormat="1" applyFont="1" applyFill="1"/>
    <xf numFmtId="0" fontId="77" fillId="0" borderId="0" xfId="0" applyFont="1"/>
    <xf numFmtId="166" fontId="77" fillId="0" borderId="0" xfId="1" applyNumberFormat="1" applyFont="1"/>
    <xf numFmtId="166" fontId="50" fillId="0" borderId="0" xfId="1" applyNumberFormat="1" applyFont="1"/>
    <xf numFmtId="43" fontId="44" fillId="0" borderId="4" xfId="1" applyFont="1" applyBorder="1"/>
    <xf numFmtId="0" fontId="85" fillId="0" borderId="4" xfId="0" applyFont="1" applyBorder="1" applyAlignment="1">
      <alignment horizontal="center"/>
    </xf>
    <xf numFmtId="0" fontId="7" fillId="10" borderId="0" xfId="2" applyFont="1" applyFill="1" applyBorder="1" applyAlignment="1" applyProtection="1">
      <alignment vertical="center" wrapText="1"/>
    </xf>
    <xf numFmtId="0" fontId="17" fillId="28" borderId="0" xfId="0" applyFont="1" applyFill="1" applyBorder="1" applyAlignment="1">
      <alignment horizontal="justify" vertical="justify" textRotation="180"/>
    </xf>
    <xf numFmtId="0" fontId="7" fillId="28" borderId="0" xfId="2" applyFont="1" applyFill="1" applyBorder="1" applyAlignment="1" applyProtection="1">
      <alignment vertical="center" wrapText="1"/>
    </xf>
    <xf numFmtId="0" fontId="7" fillId="0" borderId="0" xfId="2" applyFont="1" applyFill="1" applyBorder="1" applyAlignment="1" applyProtection="1">
      <alignment vertical="center" wrapText="1"/>
    </xf>
    <xf numFmtId="0" fontId="17" fillId="4" borderId="0" xfId="0" applyFont="1" applyFill="1" applyBorder="1" applyAlignment="1">
      <alignment horizontal="justify" vertical="justify" textRotation="180"/>
    </xf>
    <xf numFmtId="0" fontId="7" fillId="4" borderId="0" xfId="2" applyFont="1" applyFill="1" applyBorder="1" applyAlignment="1" applyProtection="1">
      <alignment vertical="center" wrapText="1"/>
    </xf>
    <xf numFmtId="43" fontId="7" fillId="0" borderId="0" xfId="1" applyFont="1" applyFill="1" applyBorder="1" applyAlignment="1" applyProtection="1">
      <alignment vertical="center" wrapText="1"/>
    </xf>
    <xf numFmtId="0" fontId="7" fillId="22" borderId="0" xfId="2" applyFont="1" applyFill="1" applyBorder="1" applyAlignment="1" applyProtection="1">
      <alignment vertical="center" wrapText="1"/>
    </xf>
    <xf numFmtId="0" fontId="7" fillId="21" borderId="0" xfId="2" applyFont="1" applyFill="1" applyBorder="1" applyAlignment="1" applyProtection="1">
      <alignment vertical="center" wrapText="1"/>
    </xf>
    <xf numFmtId="0" fontId="7" fillId="24" borderId="0" xfId="2" applyFont="1" applyFill="1" applyBorder="1" applyAlignment="1" applyProtection="1">
      <alignment vertical="center" wrapText="1"/>
    </xf>
    <xf numFmtId="2" fontId="7" fillId="0" borderId="0" xfId="2" applyNumberFormat="1" applyFont="1" applyFill="1" applyBorder="1" applyAlignment="1" applyProtection="1">
      <alignment vertical="center" wrapText="1"/>
    </xf>
    <xf numFmtId="0" fontId="46" fillId="0" borderId="4" xfId="2" applyFont="1" applyFill="1" applyBorder="1" applyAlignment="1" applyProtection="1">
      <alignment vertical="center" wrapText="1"/>
    </xf>
    <xf numFmtId="0" fontId="59" fillId="19" borderId="1" xfId="2" applyFont="1" applyFill="1" applyBorder="1" applyAlignment="1" applyProtection="1">
      <alignment vertical="center" wrapText="1"/>
    </xf>
    <xf numFmtId="0" fontId="45" fillId="19" borderId="4" xfId="0" applyFont="1" applyFill="1" applyBorder="1"/>
    <xf numFmtId="0" fontId="45" fillId="7" borderId="4" xfId="0" applyFont="1" applyFill="1" applyBorder="1"/>
    <xf numFmtId="165" fontId="63" fillId="0" borderId="0" xfId="0" applyNumberFormat="1" applyFont="1" applyFill="1"/>
    <xf numFmtId="0" fontId="0" fillId="0" borderId="4" xfId="0" applyFont="1" applyBorder="1" applyAlignment="1">
      <alignment wrapText="1"/>
    </xf>
    <xf numFmtId="0" fontId="7" fillId="4" borderId="33" xfId="2" applyFont="1" applyFill="1" applyBorder="1" applyAlignment="1" applyProtection="1">
      <alignment vertical="center" wrapText="1"/>
    </xf>
    <xf numFmtId="0" fontId="17" fillId="22" borderId="2" xfId="0" applyFont="1" applyFill="1" applyBorder="1" applyAlignment="1">
      <alignment horizontal="justify" vertical="justify" textRotation="180"/>
    </xf>
    <xf numFmtId="0" fontId="17" fillId="21" borderId="2" xfId="0" applyFont="1" applyFill="1" applyBorder="1" applyAlignment="1">
      <alignment horizontal="justify" vertical="justify" textRotation="180"/>
    </xf>
    <xf numFmtId="0" fontId="17" fillId="24" borderId="2" xfId="0" applyFont="1" applyFill="1" applyBorder="1" applyAlignment="1">
      <alignment horizontal="justify" vertical="justify" textRotation="180"/>
    </xf>
    <xf numFmtId="2" fontId="17" fillId="8" borderId="2" xfId="0" applyNumberFormat="1" applyFont="1" applyFill="1" applyBorder="1" applyAlignment="1">
      <alignment horizontal="justify" vertical="justify" textRotation="180"/>
    </xf>
    <xf numFmtId="0" fontId="7" fillId="4" borderId="4" xfId="2" applyFont="1" applyFill="1" applyBorder="1" applyAlignment="1" applyProtection="1">
      <alignment vertical="center" wrapText="1"/>
    </xf>
    <xf numFmtId="2" fontId="50" fillId="0" borderId="4" xfId="0" applyNumberFormat="1" applyFont="1" applyBorder="1"/>
    <xf numFmtId="165" fontId="77" fillId="0" borderId="4" xfId="0" applyNumberFormat="1" applyFont="1" applyFill="1" applyBorder="1"/>
    <xf numFmtId="166" fontId="59" fillId="21" borderId="4" xfId="1" applyNumberFormat="1" applyFont="1" applyFill="1" applyBorder="1" applyAlignment="1" applyProtection="1">
      <alignment horizontal="center" vertical="center" wrapText="1"/>
    </xf>
    <xf numFmtId="166" fontId="59" fillId="21" borderId="4" xfId="2" applyNumberFormat="1" applyFont="1" applyFill="1" applyBorder="1" applyAlignment="1" applyProtection="1">
      <alignment horizontal="center" vertical="center" wrapText="1"/>
    </xf>
    <xf numFmtId="0" fontId="67" fillId="0" borderId="7" xfId="2" applyFont="1" applyFill="1" applyBorder="1" applyAlignment="1" applyProtection="1">
      <alignment horizontal="center" vertical="center" wrapText="1"/>
    </xf>
    <xf numFmtId="0" fontId="67" fillId="18" borderId="8" xfId="2" applyFont="1" applyFill="1" applyBorder="1" applyAlignment="1" applyProtection="1">
      <alignment horizontal="left" vertical="center" wrapText="1"/>
    </xf>
    <xf numFmtId="0" fontId="67" fillId="18" borderId="9" xfId="2" applyFont="1" applyFill="1" applyBorder="1" applyAlignment="1" applyProtection="1">
      <alignment horizontal="center" vertical="center" wrapText="1"/>
    </xf>
    <xf numFmtId="166" fontId="67" fillId="0" borderId="9" xfId="1" applyNumberFormat="1" applyFont="1" applyFill="1" applyBorder="1" applyAlignment="1" applyProtection="1">
      <alignment vertical="center" wrapText="1"/>
    </xf>
    <xf numFmtId="0" fontId="67" fillId="0" borderId="9" xfId="0" applyFont="1" applyFill="1" applyBorder="1"/>
    <xf numFmtId="0" fontId="45" fillId="24" borderId="1" xfId="0" applyFont="1" applyFill="1" applyBorder="1" applyAlignment="1">
      <alignment horizontal="center"/>
    </xf>
    <xf numFmtId="0" fontId="50" fillId="18" borderId="4" xfId="0" applyFont="1" applyFill="1" applyBorder="1"/>
    <xf numFmtId="14" fontId="54" fillId="0" borderId="0" xfId="0" applyNumberFormat="1" applyFont="1"/>
    <xf numFmtId="0" fontId="45" fillId="0" borderId="0" xfId="0" applyFont="1" applyAlignment="1">
      <alignment horizontal="center"/>
    </xf>
    <xf numFmtId="0" fontId="73" fillId="10" borderId="4" xfId="0" applyFont="1" applyFill="1" applyBorder="1" applyAlignment="1">
      <alignment horizontal="center"/>
    </xf>
    <xf numFmtId="166" fontId="51" fillId="0" borderId="1" xfId="1" applyNumberFormat="1" applyFont="1" applyFill="1" applyBorder="1" applyAlignment="1" applyProtection="1">
      <alignment vertical="center" wrapText="1"/>
    </xf>
    <xf numFmtId="166" fontId="89" fillId="0" borderId="0" xfId="1" applyNumberFormat="1" applyFont="1"/>
    <xf numFmtId="0" fontId="63" fillId="0" borderId="0" xfId="0" applyFont="1" applyAlignment="1">
      <alignment horizontal="center"/>
    </xf>
    <xf numFmtId="0" fontId="53" fillId="3" borderId="4" xfId="2" applyFont="1" applyFill="1" applyBorder="1" applyAlignment="1" applyProtection="1">
      <alignment horizontal="center" vertical="center" wrapText="1"/>
    </xf>
    <xf numFmtId="0" fontId="53" fillId="0" borderId="4" xfId="2" applyFont="1" applyFill="1" applyBorder="1" applyAlignment="1" applyProtection="1">
      <alignment horizontal="center" vertical="center" wrapText="1"/>
    </xf>
    <xf numFmtId="0" fontId="52" fillId="3" borderId="4" xfId="2" applyFont="1" applyFill="1" applyBorder="1" applyAlignment="1" applyProtection="1">
      <alignment horizontal="center" vertical="center" wrapText="1"/>
    </xf>
    <xf numFmtId="0" fontId="53" fillId="0" borderId="0" xfId="2" applyFont="1" applyFill="1" applyBorder="1" applyAlignment="1" applyProtection="1">
      <alignment horizontal="center" vertical="center" wrapText="1"/>
    </xf>
    <xf numFmtId="165" fontId="53" fillId="0" borderId="0" xfId="1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>
      <alignment horizontal="center"/>
    </xf>
    <xf numFmtId="0" fontId="59" fillId="0" borderId="0" xfId="0" applyFont="1" applyAlignment="1">
      <alignment horizontal="center"/>
    </xf>
    <xf numFmtId="0" fontId="50" fillId="18" borderId="0" xfId="0" applyFont="1" applyFill="1" applyAlignment="1">
      <alignment horizontal="center"/>
    </xf>
    <xf numFmtId="0" fontId="45" fillId="18" borderId="0" xfId="0" applyFont="1" applyFill="1" applyAlignment="1">
      <alignment horizontal="center"/>
    </xf>
    <xf numFmtId="0" fontId="73" fillId="18" borderId="4" xfId="0" applyFont="1" applyFill="1" applyBorder="1" applyAlignment="1">
      <alignment horizontal="center"/>
    </xf>
    <xf numFmtId="0" fontId="53" fillId="19" borderId="4" xfId="2" applyFont="1" applyFill="1" applyBorder="1" applyAlignment="1" applyProtection="1">
      <alignment horizontal="center" vertical="center" wrapText="1"/>
    </xf>
    <xf numFmtId="0" fontId="73" fillId="18" borderId="0" xfId="0" applyFont="1" applyFill="1"/>
    <xf numFmtId="0" fontId="52" fillId="0" borderId="0" xfId="0" applyFont="1"/>
    <xf numFmtId="0" fontId="73" fillId="0" borderId="0" xfId="0" applyFont="1"/>
    <xf numFmtId="0" fontId="73" fillId="0" borderId="0" xfId="0" applyFont="1" applyAlignment="1">
      <alignment horizontal="center"/>
    </xf>
    <xf numFmtId="0" fontId="73" fillId="0" borderId="4" xfId="0" applyFont="1" applyBorder="1" applyAlignment="1">
      <alignment horizontal="center"/>
    </xf>
    <xf numFmtId="0" fontId="90" fillId="0" borderId="0" xfId="0" applyFont="1"/>
    <xf numFmtId="0" fontId="91" fillId="4" borderId="6" xfId="0" applyFont="1" applyFill="1" applyBorder="1" applyAlignment="1">
      <alignment horizontal="justify" vertical="justify" textRotation="180"/>
    </xf>
    <xf numFmtId="0" fontId="46" fillId="4" borderId="5" xfId="2" applyFont="1" applyFill="1" applyBorder="1" applyAlignment="1" applyProtection="1">
      <alignment vertical="center" wrapText="1"/>
    </xf>
    <xf numFmtId="0" fontId="92" fillId="0" borderId="0" xfId="0" applyFont="1" applyAlignment="1">
      <alignment horizontal="center"/>
    </xf>
    <xf numFmtId="0" fontId="46" fillId="4" borderId="2" xfId="2" applyFont="1" applyFill="1" applyBorder="1" applyAlignment="1" applyProtection="1">
      <alignment vertical="center" wrapText="1"/>
    </xf>
    <xf numFmtId="165" fontId="46" fillId="22" borderId="4" xfId="1" applyNumberFormat="1" applyFont="1" applyFill="1" applyBorder="1" applyAlignment="1" applyProtection="1">
      <alignment vertical="center" wrapText="1"/>
    </xf>
    <xf numFmtId="43" fontId="46" fillId="22" borderId="4" xfId="1" applyFont="1" applyFill="1" applyBorder="1" applyAlignment="1" applyProtection="1">
      <alignment vertical="center" wrapText="1"/>
    </xf>
    <xf numFmtId="0" fontId="46" fillId="21" borderId="4" xfId="2" applyFont="1" applyFill="1" applyBorder="1" applyAlignment="1" applyProtection="1">
      <alignment vertical="center" wrapText="1"/>
    </xf>
    <xf numFmtId="165" fontId="46" fillId="21" borderId="4" xfId="1" applyNumberFormat="1" applyFont="1" applyFill="1" applyBorder="1" applyAlignment="1" applyProtection="1">
      <alignment vertical="center" wrapText="1"/>
    </xf>
    <xf numFmtId="0" fontId="46" fillId="24" borderId="4" xfId="2" applyFont="1" applyFill="1" applyBorder="1" applyAlignment="1" applyProtection="1">
      <alignment vertical="center" wrapText="1"/>
    </xf>
    <xf numFmtId="2" fontId="46" fillId="0" borderId="4" xfId="2" applyNumberFormat="1" applyFont="1" applyFill="1" applyBorder="1" applyAlignment="1" applyProtection="1">
      <alignment vertical="center" wrapText="1"/>
    </xf>
    <xf numFmtId="175" fontId="46" fillId="0" borderId="4" xfId="2" applyNumberFormat="1" applyFont="1" applyFill="1" applyBorder="1" applyAlignment="1" applyProtection="1">
      <alignment vertical="center" wrapText="1"/>
    </xf>
    <xf numFmtId="166" fontId="0" fillId="0" borderId="0" xfId="1" applyNumberFormat="1" applyFont="1" applyAlignment="1">
      <alignment horizontal="center"/>
    </xf>
    <xf numFmtId="166" fontId="17" fillId="5" borderId="3" xfId="1" applyNumberFormat="1" applyFont="1" applyFill="1" applyBorder="1" applyAlignment="1">
      <alignment horizontal="center" vertical="justify" textRotation="180"/>
    </xf>
    <xf numFmtId="166" fontId="17" fillId="8" borderId="2" xfId="1" applyNumberFormat="1" applyFont="1" applyFill="1" applyBorder="1" applyAlignment="1">
      <alignment horizontal="center" vertical="justify" textRotation="180"/>
    </xf>
    <xf numFmtId="166" fontId="7" fillId="0" borderId="4" xfId="1" applyNumberFormat="1" applyFont="1" applyFill="1" applyBorder="1" applyAlignment="1" applyProtection="1">
      <alignment horizontal="center" vertical="center" wrapText="1"/>
    </xf>
    <xf numFmtId="0" fontId="22" fillId="22" borderId="3" xfId="0" applyFont="1" applyFill="1" applyBorder="1" applyAlignment="1">
      <alignment horizontal="justify" vertical="justify"/>
    </xf>
    <xf numFmtId="0" fontId="22" fillId="21" borderId="3" xfId="0" applyFont="1" applyFill="1" applyBorder="1" applyAlignment="1">
      <alignment horizontal="justify" vertical="justify"/>
    </xf>
    <xf numFmtId="0" fontId="22" fillId="24" borderId="3" xfId="0" applyFont="1" applyFill="1" applyBorder="1" applyAlignment="1">
      <alignment horizontal="justify" vertical="justify"/>
    </xf>
    <xf numFmtId="43" fontId="63" fillId="0" borderId="0" xfId="0" applyNumberFormat="1" applyFont="1" applyFill="1"/>
    <xf numFmtId="170" fontId="63" fillId="0" borderId="0" xfId="1" applyNumberFormat="1" applyFont="1"/>
    <xf numFmtId="0" fontId="53" fillId="32" borderId="4" xfId="2" applyFont="1" applyFill="1" applyBorder="1" applyAlignment="1" applyProtection="1">
      <alignment horizontal="center" vertical="center" wrapText="1"/>
    </xf>
    <xf numFmtId="43" fontId="57" fillId="0" borderId="4" xfId="1" applyNumberFormat="1" applyFont="1" applyFill="1" applyBorder="1" applyAlignment="1" applyProtection="1">
      <alignment vertical="center" wrapText="1"/>
    </xf>
    <xf numFmtId="166" fontId="67" fillId="19" borderId="4" xfId="1" applyNumberFormat="1" applyFont="1" applyFill="1" applyBorder="1" applyAlignment="1" applyProtection="1">
      <alignment vertical="center" wrapText="1"/>
    </xf>
    <xf numFmtId="166" fontId="59" fillId="0" borderId="4" xfId="1" applyNumberFormat="1" applyFont="1" applyBorder="1"/>
    <xf numFmtId="0" fontId="57" fillId="19" borderId="4" xfId="2" applyFont="1" applyFill="1" applyBorder="1" applyAlignment="1" applyProtection="1">
      <alignment vertical="center" wrapText="1"/>
    </xf>
    <xf numFmtId="14" fontId="57" fillId="19" borderId="4" xfId="2" applyNumberFormat="1" applyFont="1" applyFill="1" applyBorder="1" applyAlignment="1" applyProtection="1">
      <alignment vertical="center" wrapText="1"/>
    </xf>
    <xf numFmtId="166" fontId="57" fillId="19" borderId="4" xfId="1" applyNumberFormat="1" applyFont="1" applyFill="1" applyBorder="1" applyAlignment="1" applyProtection="1">
      <alignment horizontal="center" vertical="center"/>
    </xf>
    <xf numFmtId="9" fontId="57" fillId="19" borderId="4" xfId="3" applyFont="1" applyFill="1" applyBorder="1" applyAlignment="1" applyProtection="1">
      <alignment horizontal="center" vertical="center"/>
    </xf>
    <xf numFmtId="0" fontId="57" fillId="19" borderId="4" xfId="2" applyFont="1" applyFill="1" applyBorder="1" applyAlignment="1" applyProtection="1">
      <alignment horizontal="center" vertical="center" wrapText="1"/>
    </xf>
    <xf numFmtId="166" fontId="72" fillId="18" borderId="0" xfId="1" applyNumberFormat="1" applyFont="1" applyFill="1"/>
    <xf numFmtId="0" fontId="53" fillId="19" borderId="4" xfId="2" applyFont="1" applyFill="1" applyBorder="1" applyAlignment="1" applyProtection="1">
      <alignment vertical="center" wrapText="1"/>
    </xf>
    <xf numFmtId="166" fontId="9" fillId="0" borderId="0" xfId="1" applyNumberFormat="1" applyFont="1" applyAlignment="1">
      <alignment horizontal="center"/>
    </xf>
    <xf numFmtId="0" fontId="7" fillId="33" borderId="4" xfId="2" applyFont="1" applyFill="1" applyBorder="1" applyAlignment="1" applyProtection="1">
      <alignment vertical="center" wrapText="1"/>
    </xf>
    <xf numFmtId="166" fontId="7" fillId="33" borderId="4" xfId="1" applyNumberFormat="1" applyFont="1" applyFill="1" applyBorder="1" applyAlignment="1" applyProtection="1">
      <alignment vertical="center" wrapText="1"/>
    </xf>
    <xf numFmtId="0" fontId="17" fillId="33" borderId="6" xfId="0" applyFont="1" applyFill="1" applyBorder="1" applyAlignment="1">
      <alignment horizontal="justify" vertical="justify" textRotation="180"/>
    </xf>
    <xf numFmtId="0" fontId="17" fillId="33" borderId="2" xfId="0" applyFont="1" applyFill="1" applyBorder="1" applyAlignment="1">
      <alignment horizontal="justify" vertical="justify" textRotation="180"/>
    </xf>
    <xf numFmtId="0" fontId="7" fillId="33" borderId="5" xfId="2" applyFont="1" applyFill="1" applyBorder="1" applyAlignment="1" applyProtection="1">
      <alignment vertical="center" wrapText="1"/>
    </xf>
    <xf numFmtId="166" fontId="29" fillId="33" borderId="4" xfId="0" applyNumberFormat="1" applyFont="1" applyFill="1" applyBorder="1"/>
    <xf numFmtId="0" fontId="0" fillId="33" borderId="0" xfId="0" applyFill="1"/>
    <xf numFmtId="166" fontId="72" fillId="0" borderId="0" xfId="1" applyNumberFormat="1" applyFont="1" applyFill="1"/>
    <xf numFmtId="166" fontId="8" fillId="18" borderId="0" xfId="1" applyNumberFormat="1" applyFont="1" applyFill="1"/>
    <xf numFmtId="166" fontId="8" fillId="18" borderId="0" xfId="1" applyNumberFormat="1" applyFont="1" applyFill="1" applyAlignment="1">
      <alignment wrapText="1"/>
    </xf>
    <xf numFmtId="166" fontId="8" fillId="8" borderId="0" xfId="1" applyNumberFormat="1" applyFont="1" applyFill="1"/>
    <xf numFmtId="166" fontId="72" fillId="0" borderId="0" xfId="1" applyNumberFormat="1" applyFont="1"/>
    <xf numFmtId="0" fontId="9" fillId="0" borderId="1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166" fontId="11" fillId="0" borderId="0" xfId="1" applyNumberFormat="1" applyFont="1" applyAlignment="1">
      <alignment horizontal="center"/>
    </xf>
    <xf numFmtId="0" fontId="11" fillId="0" borderId="4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4" fillId="0" borderId="14" xfId="0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51" fillId="19" borderId="7" xfId="0" applyFont="1" applyFill="1" applyBorder="1" applyAlignment="1">
      <alignment horizontal="center"/>
    </xf>
    <xf numFmtId="0" fontId="51" fillId="19" borderId="8" xfId="0" applyFont="1" applyFill="1" applyBorder="1" applyAlignment="1">
      <alignment horizontal="center"/>
    </xf>
    <xf numFmtId="0" fontId="51" fillId="19" borderId="9" xfId="0" applyFont="1" applyFill="1" applyBorder="1" applyAlignment="1">
      <alignment horizontal="center"/>
    </xf>
    <xf numFmtId="0" fontId="56" fillId="0" borderId="11" xfId="0" applyFont="1" applyBorder="1" applyAlignment="1">
      <alignment horizontal="center" vertical="center"/>
    </xf>
    <xf numFmtId="0" fontId="59" fillId="18" borderId="4" xfId="2" applyFont="1" applyFill="1" applyBorder="1" applyAlignment="1" applyProtection="1">
      <alignment horizontal="center" vertical="center" wrapText="1"/>
    </xf>
    <xf numFmtId="166" fontId="67" fillId="0" borderId="0" xfId="1" applyNumberFormat="1" applyFont="1" applyBorder="1" applyAlignment="1">
      <alignment horizontal="center"/>
    </xf>
    <xf numFmtId="166" fontId="57" fillId="0" borderId="0" xfId="1" applyNumberFormat="1" applyFont="1" applyBorder="1" applyAlignment="1">
      <alignment horizontal="center"/>
    </xf>
    <xf numFmtId="0" fontId="59" fillId="0" borderId="7" xfId="2" applyFont="1" applyFill="1" applyBorder="1" applyAlignment="1" applyProtection="1">
      <alignment horizontal="center" vertical="center" wrapText="1"/>
    </xf>
    <xf numFmtId="0" fontId="59" fillId="0" borderId="8" xfId="2" applyFont="1" applyFill="1" applyBorder="1" applyAlignment="1" applyProtection="1">
      <alignment horizontal="center" vertical="center" wrapText="1"/>
    </xf>
    <xf numFmtId="0" fontId="59" fillId="0" borderId="9" xfId="2" applyFont="1" applyFill="1" applyBorder="1" applyAlignment="1" applyProtection="1">
      <alignment horizontal="center" vertical="center" wrapText="1"/>
    </xf>
    <xf numFmtId="0" fontId="59" fillId="18" borderId="0" xfId="2" applyFont="1" applyFill="1" applyBorder="1" applyAlignment="1" applyProtection="1">
      <alignment horizontal="center" vertical="center" wrapText="1"/>
    </xf>
    <xf numFmtId="0" fontId="59" fillId="18" borderId="7" xfId="2" applyFont="1" applyFill="1" applyBorder="1" applyAlignment="1" applyProtection="1">
      <alignment horizontal="center" vertical="center" wrapText="1"/>
    </xf>
    <xf numFmtId="0" fontId="59" fillId="18" borderId="8" xfId="2" applyFont="1" applyFill="1" applyBorder="1" applyAlignment="1" applyProtection="1">
      <alignment horizontal="center" vertical="center" wrapText="1"/>
    </xf>
    <xf numFmtId="0" fontId="59" fillId="18" borderId="9" xfId="2" applyFont="1" applyFill="1" applyBorder="1" applyAlignment="1" applyProtection="1">
      <alignment horizontal="center" vertical="center" wrapText="1"/>
    </xf>
    <xf numFmtId="0" fontId="59" fillId="21" borderId="14" xfId="2" applyFont="1" applyFill="1" applyBorder="1" applyAlignment="1" applyProtection="1">
      <alignment horizontal="center" vertical="center" wrapText="1"/>
    </xf>
    <xf numFmtId="0" fontId="59" fillId="21" borderId="11" xfId="2" applyFont="1" applyFill="1" applyBorder="1" applyAlignment="1" applyProtection="1">
      <alignment horizontal="center" vertical="center" wrapText="1"/>
    </xf>
    <xf numFmtId="0" fontId="59" fillId="18" borderId="11" xfId="2" applyFont="1" applyFill="1" applyBorder="1" applyAlignment="1" applyProtection="1">
      <alignment horizontal="center" vertical="center" wrapText="1"/>
    </xf>
    <xf numFmtId="0" fontId="14" fillId="10" borderId="4" xfId="0" applyFont="1" applyFill="1" applyBorder="1" applyAlignment="1">
      <alignment horizontal="center"/>
    </xf>
    <xf numFmtId="9" fontId="14" fillId="13" borderId="4" xfId="3" applyFont="1" applyFill="1" applyBorder="1" applyAlignment="1">
      <alignment horizontal="justify" vertical="justify"/>
    </xf>
    <xf numFmtId="165" fontId="14" fillId="10" borderId="4" xfId="1" applyNumberFormat="1" applyFont="1" applyFill="1" applyBorder="1" applyAlignment="1">
      <alignment horizontal="justify" vertical="justify"/>
    </xf>
    <xf numFmtId="165" fontId="14" fillId="10" borderId="1" xfId="1" applyNumberFormat="1" applyFont="1" applyFill="1" applyBorder="1" applyAlignment="1">
      <alignment horizontal="justify" vertical="justify"/>
    </xf>
    <xf numFmtId="165" fontId="14" fillId="10" borderId="3" xfId="1" applyNumberFormat="1" applyFont="1" applyFill="1" applyBorder="1" applyAlignment="1">
      <alignment horizontal="justify" vertical="justify"/>
    </xf>
    <xf numFmtId="165" fontId="14" fillId="10" borderId="7" xfId="1" applyNumberFormat="1" applyFont="1" applyFill="1" applyBorder="1" applyAlignment="1">
      <alignment horizontal="center"/>
    </xf>
    <xf numFmtId="165" fontId="14" fillId="10" borderId="9" xfId="1" applyNumberFormat="1" applyFont="1" applyFill="1" applyBorder="1" applyAlignment="1">
      <alignment horizontal="center"/>
    </xf>
    <xf numFmtId="165" fontId="14" fillId="10" borderId="4" xfId="1" applyNumberFormat="1" applyFont="1" applyFill="1" applyBorder="1" applyAlignment="1">
      <alignment horizontal="center"/>
    </xf>
    <xf numFmtId="0" fontId="45" fillId="0" borderId="4" xfId="0" applyFont="1" applyBorder="1" applyAlignment="1">
      <alignment horizontal="center" vertical="center" wrapText="1"/>
    </xf>
    <xf numFmtId="0" fontId="45" fillId="0" borderId="4" xfId="0" applyFont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0" fontId="44" fillId="0" borderId="3" xfId="0" applyFont="1" applyBorder="1" applyAlignment="1">
      <alignment horizontal="center" vertical="center"/>
    </xf>
    <xf numFmtId="0" fontId="44" fillId="19" borderId="7" xfId="0" applyFont="1" applyFill="1" applyBorder="1" applyAlignment="1">
      <alignment horizontal="center"/>
    </xf>
    <xf numFmtId="0" fontId="44" fillId="19" borderId="8" xfId="0" applyFont="1" applyFill="1" applyBorder="1" applyAlignment="1">
      <alignment horizontal="center"/>
    </xf>
    <xf numFmtId="0" fontId="44" fillId="19" borderId="9" xfId="0" applyFont="1" applyFill="1" applyBorder="1" applyAlignment="1">
      <alignment horizontal="center"/>
    </xf>
    <xf numFmtId="0" fontId="44" fillId="29" borderId="7" xfId="0" applyFont="1" applyFill="1" applyBorder="1" applyAlignment="1">
      <alignment horizontal="center"/>
    </xf>
    <xf numFmtId="0" fontId="44" fillId="29" borderId="8" xfId="0" applyFont="1" applyFill="1" applyBorder="1" applyAlignment="1">
      <alignment horizontal="center"/>
    </xf>
    <xf numFmtId="0" fontId="44" fillId="29" borderId="9" xfId="0" applyFont="1" applyFill="1" applyBorder="1" applyAlignment="1">
      <alignment horizontal="center"/>
    </xf>
    <xf numFmtId="0" fontId="44" fillId="18" borderId="4" xfId="0" applyFont="1" applyFill="1" applyBorder="1" applyAlignment="1">
      <alignment horizontal="center"/>
    </xf>
    <xf numFmtId="0" fontId="83" fillId="0" borderId="27" xfId="0" applyFont="1" applyBorder="1" applyAlignment="1">
      <alignment horizontal="left" vertical="top" wrapText="1"/>
    </xf>
    <xf numFmtId="0" fontId="83" fillId="0" borderId="0" xfId="0" applyFont="1" applyBorder="1" applyAlignment="1">
      <alignment horizontal="left" vertical="top" wrapText="1"/>
    </xf>
    <xf numFmtId="0" fontId="45" fillId="0" borderId="0" xfId="0" applyFont="1" applyAlignment="1">
      <alignment horizontal="center"/>
    </xf>
    <xf numFmtId="0" fontId="73" fillId="10" borderId="4" xfId="0" applyFont="1" applyFill="1" applyBorder="1" applyAlignment="1">
      <alignment horizontal="center"/>
    </xf>
    <xf numFmtId="0" fontId="78" fillId="0" borderId="0" xfId="0" applyFont="1" applyAlignment="1">
      <alignment horizontal="center" vertical="center"/>
    </xf>
    <xf numFmtId="0" fontId="78" fillId="18" borderId="7" xfId="0" applyFont="1" applyFill="1" applyBorder="1" applyAlignment="1">
      <alignment horizontal="center" vertical="center"/>
    </xf>
    <xf numFmtId="0" fontId="78" fillId="18" borderId="8" xfId="0" applyFont="1" applyFill="1" applyBorder="1" applyAlignment="1">
      <alignment horizontal="center" vertical="center"/>
    </xf>
    <xf numFmtId="0" fontId="78" fillId="18" borderId="9" xfId="0" applyFont="1" applyFill="1" applyBorder="1" applyAlignment="1">
      <alignment horizontal="center" vertical="center"/>
    </xf>
    <xf numFmtId="165" fontId="73" fillId="10" borderId="7" xfId="1" applyNumberFormat="1" applyFont="1" applyFill="1" applyBorder="1" applyAlignment="1">
      <alignment horizontal="center"/>
    </xf>
    <xf numFmtId="165" fontId="73" fillId="10" borderId="9" xfId="1" applyNumberFormat="1" applyFont="1" applyFill="1" applyBorder="1" applyAlignment="1">
      <alignment horizontal="center"/>
    </xf>
    <xf numFmtId="165" fontId="52" fillId="10" borderId="7" xfId="1" applyNumberFormat="1" applyFont="1" applyFill="1" applyBorder="1" applyAlignment="1">
      <alignment horizontal="center"/>
    </xf>
    <xf numFmtId="165" fontId="52" fillId="10" borderId="9" xfId="1" applyNumberFormat="1" applyFont="1" applyFill="1" applyBorder="1" applyAlignment="1">
      <alignment horizontal="center"/>
    </xf>
    <xf numFmtId="0" fontId="73" fillId="18" borderId="4" xfId="0" applyFont="1" applyFill="1" applyBorder="1" applyAlignment="1">
      <alignment horizontal="center"/>
    </xf>
    <xf numFmtId="165" fontId="73" fillId="10" borderId="14" xfId="1" applyNumberFormat="1" applyFont="1" applyFill="1" applyBorder="1" applyAlignment="1">
      <alignment horizontal="center"/>
    </xf>
    <xf numFmtId="165" fontId="73" fillId="10" borderId="11" xfId="1" applyNumberFormat="1" applyFont="1" applyFill="1" applyBorder="1" applyAlignment="1">
      <alignment horizontal="center"/>
    </xf>
    <xf numFmtId="166" fontId="84" fillId="0" borderId="16" xfId="1" applyNumberFormat="1" applyFont="1" applyFill="1" applyBorder="1" applyAlignment="1" applyProtection="1">
      <alignment horizontal="center" vertical="center" wrapText="1"/>
    </xf>
    <xf numFmtId="0" fontId="9" fillId="0" borderId="0" xfId="0" applyFont="1" applyAlignment="1">
      <alignment horizontal="center"/>
    </xf>
    <xf numFmtId="166" fontId="9" fillId="0" borderId="0" xfId="1" applyNumberFormat="1" applyFont="1" applyAlignment="1">
      <alignment horizontal="center"/>
    </xf>
    <xf numFmtId="166" fontId="51" fillId="0" borderId="0" xfId="1" applyNumberFormat="1" applyFont="1" applyFill="1" applyAlignment="1">
      <alignment horizontal="center"/>
    </xf>
    <xf numFmtId="166" fontId="57" fillId="0" borderId="0" xfId="1" applyNumberFormat="1" applyFont="1" applyFill="1" applyAlignment="1">
      <alignment horizontal="center"/>
    </xf>
    <xf numFmtId="166" fontId="9" fillId="0" borderId="0" xfId="1" applyNumberFormat="1" applyFont="1" applyFill="1" applyAlignment="1">
      <alignment horizontal="center"/>
    </xf>
    <xf numFmtId="0" fontId="18" fillId="0" borderId="7" xfId="2" applyFont="1" applyFill="1" applyBorder="1" applyAlignment="1" applyProtection="1">
      <alignment horizontal="center" vertical="center" wrapText="1"/>
    </xf>
    <xf numFmtId="0" fontId="18" fillId="0" borderId="8" xfId="2" applyFont="1" applyFill="1" applyBorder="1" applyAlignment="1" applyProtection="1">
      <alignment horizontal="center" vertical="center" wrapText="1"/>
    </xf>
    <xf numFmtId="0" fontId="18" fillId="0" borderId="9" xfId="2" applyFont="1" applyFill="1" applyBorder="1" applyAlignment="1" applyProtection="1">
      <alignment horizontal="center" vertical="center" wrapText="1"/>
    </xf>
    <xf numFmtId="0" fontId="4" fillId="10" borderId="14" xfId="2" applyFont="1" applyFill="1" applyBorder="1" applyAlignment="1" applyProtection="1">
      <alignment horizontal="center" vertical="center" wrapText="1"/>
    </xf>
    <xf numFmtId="0" fontId="4" fillId="10" borderId="11" xfId="2" applyFont="1" applyFill="1" applyBorder="1" applyAlignment="1" applyProtection="1">
      <alignment horizontal="center" vertical="center" wrapText="1"/>
    </xf>
    <xf numFmtId="0" fontId="4" fillId="10" borderId="15" xfId="2" applyFont="1" applyFill="1" applyBorder="1" applyAlignment="1" applyProtection="1">
      <alignment horizontal="center" vertical="center" wrapText="1"/>
    </xf>
    <xf numFmtId="0" fontId="4" fillId="2" borderId="7" xfId="2" applyFont="1" applyFill="1" applyBorder="1" applyAlignment="1" applyProtection="1">
      <alignment horizontal="center" vertical="center" wrapText="1"/>
    </xf>
    <xf numFmtId="0" fontId="4" fillId="2" borderId="8" xfId="2" applyFont="1" applyFill="1" applyBorder="1" applyAlignment="1" applyProtection="1">
      <alignment horizontal="center" vertical="center" wrapText="1"/>
    </xf>
    <xf numFmtId="0" fontId="4" fillId="2" borderId="9" xfId="2" applyFont="1" applyFill="1" applyBorder="1" applyAlignment="1" applyProtection="1">
      <alignment horizontal="center" vertical="center" wrapText="1"/>
    </xf>
    <xf numFmtId="0" fontId="9" fillId="0" borderId="7" xfId="2" applyFont="1" applyFill="1" applyBorder="1" applyAlignment="1" applyProtection="1">
      <alignment horizontal="center" vertical="center" wrapText="1"/>
    </xf>
    <xf numFmtId="0" fontId="9" fillId="0" borderId="8" xfId="2" applyFont="1" applyFill="1" applyBorder="1" applyAlignment="1" applyProtection="1">
      <alignment horizontal="center" vertical="center" wrapText="1"/>
    </xf>
    <xf numFmtId="0" fontId="9" fillId="0" borderId="9" xfId="2" applyFont="1" applyFill="1" applyBorder="1" applyAlignment="1" applyProtection="1">
      <alignment horizontal="center" vertical="center" wrapText="1"/>
    </xf>
    <xf numFmtId="43" fontId="18" fillId="22" borderId="7" xfId="1" applyFont="1" applyFill="1" applyBorder="1" applyAlignment="1" applyProtection="1">
      <alignment horizontal="center" vertical="center" wrapText="1"/>
    </xf>
    <xf numFmtId="43" fontId="18" fillId="22" borderId="8" xfId="1" applyFont="1" applyFill="1" applyBorder="1" applyAlignment="1" applyProtection="1">
      <alignment horizontal="center" vertical="center" wrapText="1"/>
    </xf>
    <xf numFmtId="43" fontId="18" fillId="22" borderId="9" xfId="1" applyFont="1" applyFill="1" applyBorder="1" applyAlignment="1" applyProtection="1">
      <alignment horizontal="center" vertical="center" wrapText="1"/>
    </xf>
    <xf numFmtId="0" fontId="18" fillId="22" borderId="7" xfId="2" applyFont="1" applyFill="1" applyBorder="1" applyAlignment="1" applyProtection="1">
      <alignment horizontal="center" vertical="center"/>
    </xf>
    <xf numFmtId="0" fontId="18" fillId="22" borderId="8" xfId="2" applyFont="1" applyFill="1" applyBorder="1" applyAlignment="1" applyProtection="1">
      <alignment horizontal="center" vertical="center"/>
    </xf>
    <xf numFmtId="0" fontId="18" fillId="22" borderId="9" xfId="2" applyFont="1" applyFill="1" applyBorder="1" applyAlignment="1" applyProtection="1">
      <alignment horizontal="center" vertical="center"/>
    </xf>
    <xf numFmtId="0" fontId="18" fillId="0" borderId="4" xfId="2" applyFont="1" applyFill="1" applyBorder="1" applyAlignment="1" applyProtection="1">
      <alignment horizontal="center" vertical="center" wrapText="1"/>
    </xf>
    <xf numFmtId="0" fontId="9" fillId="22" borderId="7" xfId="2" applyFont="1" applyFill="1" applyBorder="1" applyAlignment="1" applyProtection="1">
      <alignment horizontal="center" vertical="center"/>
    </xf>
    <xf numFmtId="0" fontId="9" fillId="22" borderId="8" xfId="2" applyFont="1" applyFill="1" applyBorder="1" applyAlignment="1" applyProtection="1">
      <alignment horizontal="center" vertical="center"/>
    </xf>
    <xf numFmtId="0" fontId="9" fillId="22" borderId="9" xfId="2" applyFont="1" applyFill="1" applyBorder="1" applyAlignment="1" applyProtection="1">
      <alignment horizontal="center" vertical="center"/>
    </xf>
    <xf numFmtId="0" fontId="9" fillId="0" borderId="4" xfId="2" applyFont="1" applyFill="1" applyBorder="1" applyAlignment="1" applyProtection="1">
      <alignment horizontal="center" vertical="center" wrapText="1"/>
    </xf>
  </cellXfs>
  <cellStyles count="21">
    <cellStyle name="Comma" xfId="1" builtinId="3"/>
    <cellStyle name="Comma 10" xfId="19"/>
    <cellStyle name="Comma 2" xfId="9"/>
    <cellStyle name="Comma 2 2" xfId="10"/>
    <cellStyle name="Comma 3" xfId="6"/>
    <cellStyle name="Comma 3 2" xfId="11"/>
    <cellStyle name="Comma 4" xfId="8"/>
    <cellStyle name="Currency 2" xfId="13"/>
    <cellStyle name="Currency 3" xfId="12"/>
    <cellStyle name="Normal" xfId="0" builtinId="0"/>
    <cellStyle name="Normal 10" xfId="20"/>
    <cellStyle name="Normal 2" xfId="2"/>
    <cellStyle name="Normal 2 2" xfId="15"/>
    <cellStyle name="Normal 2 3" xfId="14"/>
    <cellStyle name="Normal 3" xfId="4"/>
    <cellStyle name="Normal 3 2" xfId="16"/>
    <cellStyle name="Normal 4" xfId="17"/>
    <cellStyle name="Normal 5" xfId="18"/>
    <cellStyle name="Normal 6" xfId="7"/>
    <cellStyle name="Percent" xfId="3" builtinId="5"/>
    <cellStyle name="Percent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2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AppData\Local\Microsoft\Windows\Temporary%20Internet%20Files\Content.Outlook\P8K1CKYC\B&#7842;NG%20L&#431;&#416;NG%20C&#193;C%20BO%20PHAN%20KHAC%20T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INH%20THOA/CH&#7844;M%20C&#212;NG/2019/Th&#225;ng%2006.2019/T05-2019%20SAN%20XUAT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ang bảng lương"/>
      <sheetName val="Diễn giải"/>
      <sheetName val="the luong"/>
      <sheetName val="Bang luong"/>
      <sheetName val="he so"/>
      <sheetName val="thang luong moi"/>
      <sheetName val="Bang luong (chaun)"/>
      <sheetName val="ung luong"/>
      <sheetName val="So sánh - nhan xet"/>
      <sheetName val="chuyên cần"/>
      <sheetName val="nhap cc"/>
      <sheetName val="BLuong"/>
      <sheetName val="TG - Phep nam"/>
      <sheetName val="CC"/>
      <sheetName val="BANG LUONG 1"/>
      <sheetName val="đơn giá"/>
      <sheetName val="Công tổng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boc xe"/>
      <sheetName val="chia CN boc xe"/>
      <sheetName val="SX"/>
      <sheetName val="chia CN SX"/>
      <sheetName val="XLBH"/>
      <sheetName val="chia CN XLB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C1" t="str">
            <v>SỐ THÁNG</v>
          </cell>
          <cell r="D1" t="str">
            <v>HỆ SỐ</v>
          </cell>
        </row>
        <row r="2">
          <cell r="C2">
            <v>0</v>
          </cell>
          <cell r="D2">
            <v>0</v>
          </cell>
        </row>
        <row r="3">
          <cell r="C3">
            <v>1</v>
          </cell>
          <cell r="D3">
            <v>0</v>
          </cell>
        </row>
        <row r="4">
          <cell r="C4">
            <v>2</v>
          </cell>
          <cell r="D4">
            <v>0</v>
          </cell>
        </row>
        <row r="5">
          <cell r="C5">
            <v>3</v>
          </cell>
          <cell r="D5">
            <v>0</v>
          </cell>
        </row>
        <row r="6">
          <cell r="C6">
            <v>4</v>
          </cell>
          <cell r="D6">
            <v>0</v>
          </cell>
        </row>
        <row r="7">
          <cell r="C7">
            <v>5</v>
          </cell>
          <cell r="D7">
            <v>0</v>
          </cell>
        </row>
        <row r="8">
          <cell r="C8">
            <v>6</v>
          </cell>
          <cell r="D8">
            <v>0</v>
          </cell>
        </row>
        <row r="9">
          <cell r="C9">
            <v>7</v>
          </cell>
          <cell r="D9">
            <v>0</v>
          </cell>
        </row>
        <row r="10">
          <cell r="C10">
            <v>8</v>
          </cell>
          <cell r="D10">
            <v>0</v>
          </cell>
        </row>
        <row r="11">
          <cell r="C11">
            <v>9</v>
          </cell>
          <cell r="D11">
            <v>0</v>
          </cell>
        </row>
        <row r="12">
          <cell r="C12">
            <v>10</v>
          </cell>
          <cell r="D12">
            <v>0</v>
          </cell>
        </row>
        <row r="13">
          <cell r="C13">
            <v>11</v>
          </cell>
          <cell r="D13">
            <v>0</v>
          </cell>
        </row>
        <row r="14">
          <cell r="C14">
            <v>12</v>
          </cell>
          <cell r="D14">
            <v>0</v>
          </cell>
        </row>
        <row r="15">
          <cell r="C15">
            <v>13</v>
          </cell>
          <cell r="D15">
            <v>0</v>
          </cell>
        </row>
        <row r="16">
          <cell r="C16">
            <v>14</v>
          </cell>
          <cell r="D16">
            <v>0</v>
          </cell>
        </row>
        <row r="17">
          <cell r="C17">
            <v>15</v>
          </cell>
          <cell r="D17">
            <v>0</v>
          </cell>
        </row>
        <row r="18">
          <cell r="C18">
            <v>16</v>
          </cell>
          <cell r="D18">
            <v>0</v>
          </cell>
        </row>
        <row r="19">
          <cell r="C19">
            <v>17</v>
          </cell>
          <cell r="D19">
            <v>0</v>
          </cell>
        </row>
        <row r="20">
          <cell r="C20">
            <v>18</v>
          </cell>
          <cell r="D20">
            <v>0</v>
          </cell>
        </row>
        <row r="21">
          <cell r="C21">
            <v>19</v>
          </cell>
          <cell r="D21">
            <v>0</v>
          </cell>
        </row>
        <row r="22">
          <cell r="C22">
            <v>20</v>
          </cell>
          <cell r="D22">
            <v>0</v>
          </cell>
        </row>
        <row r="23">
          <cell r="C23">
            <v>21</v>
          </cell>
          <cell r="D23">
            <v>0</v>
          </cell>
        </row>
        <row r="24">
          <cell r="C24">
            <v>22</v>
          </cell>
          <cell r="D24">
            <v>0</v>
          </cell>
        </row>
        <row r="25">
          <cell r="C25">
            <v>23</v>
          </cell>
          <cell r="D25">
            <v>0</v>
          </cell>
        </row>
        <row r="26">
          <cell r="C26">
            <v>24</v>
          </cell>
          <cell r="D26">
            <v>0</v>
          </cell>
        </row>
        <row r="27">
          <cell r="C27">
            <v>25</v>
          </cell>
          <cell r="D27">
            <v>0</v>
          </cell>
        </row>
        <row r="28">
          <cell r="C28">
            <v>26</v>
          </cell>
          <cell r="D28">
            <v>0</v>
          </cell>
        </row>
        <row r="29">
          <cell r="C29">
            <v>27</v>
          </cell>
          <cell r="D29">
            <v>0</v>
          </cell>
        </row>
        <row r="30">
          <cell r="C30">
            <v>28</v>
          </cell>
          <cell r="D30">
            <v>0</v>
          </cell>
        </row>
        <row r="31">
          <cell r="C31">
            <v>29</v>
          </cell>
          <cell r="D31">
            <v>0</v>
          </cell>
        </row>
        <row r="32">
          <cell r="C32">
            <v>30</v>
          </cell>
          <cell r="D32">
            <v>0</v>
          </cell>
        </row>
        <row r="33">
          <cell r="C33">
            <v>31</v>
          </cell>
          <cell r="D33">
            <v>0</v>
          </cell>
        </row>
        <row r="34">
          <cell r="C34">
            <v>32</v>
          </cell>
          <cell r="D34">
            <v>0</v>
          </cell>
        </row>
        <row r="35">
          <cell r="C35">
            <v>33</v>
          </cell>
          <cell r="D35">
            <v>0</v>
          </cell>
        </row>
        <row r="36">
          <cell r="C36">
            <v>34</v>
          </cell>
          <cell r="D36">
            <v>0</v>
          </cell>
        </row>
        <row r="37">
          <cell r="C37">
            <v>35</v>
          </cell>
          <cell r="D37">
            <v>0</v>
          </cell>
        </row>
        <row r="38">
          <cell r="C38">
            <v>36</v>
          </cell>
          <cell r="D38">
            <v>0</v>
          </cell>
        </row>
        <row r="39">
          <cell r="C39">
            <v>37</v>
          </cell>
          <cell r="D39">
            <v>0.03</v>
          </cell>
        </row>
        <row r="40">
          <cell r="C40">
            <v>38</v>
          </cell>
          <cell r="D40">
            <v>0.03</v>
          </cell>
        </row>
        <row r="41">
          <cell r="C41">
            <v>39</v>
          </cell>
          <cell r="D41">
            <v>0.03</v>
          </cell>
        </row>
        <row r="42">
          <cell r="C42">
            <v>40</v>
          </cell>
          <cell r="D42">
            <v>0.03</v>
          </cell>
        </row>
        <row r="43">
          <cell r="C43">
            <v>41</v>
          </cell>
          <cell r="D43">
            <v>0.03</v>
          </cell>
        </row>
        <row r="44">
          <cell r="C44">
            <v>42</v>
          </cell>
          <cell r="D44">
            <v>0.03</v>
          </cell>
        </row>
        <row r="45">
          <cell r="C45">
            <v>43</v>
          </cell>
          <cell r="D45">
            <v>0.03</v>
          </cell>
        </row>
        <row r="46">
          <cell r="C46">
            <v>44</v>
          </cell>
          <cell r="D46">
            <v>0.03</v>
          </cell>
        </row>
        <row r="47">
          <cell r="C47">
            <v>45</v>
          </cell>
          <cell r="D47">
            <v>0.03</v>
          </cell>
        </row>
        <row r="48">
          <cell r="C48">
            <v>46</v>
          </cell>
          <cell r="D48">
            <v>0.03</v>
          </cell>
        </row>
        <row r="49">
          <cell r="C49">
            <v>47</v>
          </cell>
          <cell r="D49">
            <v>0.03</v>
          </cell>
        </row>
        <row r="50">
          <cell r="C50">
            <v>48</v>
          </cell>
          <cell r="D50">
            <v>0.03</v>
          </cell>
        </row>
        <row r="51">
          <cell r="C51">
            <v>49</v>
          </cell>
          <cell r="D51">
            <v>0.04</v>
          </cell>
        </row>
        <row r="52">
          <cell r="C52">
            <v>50</v>
          </cell>
          <cell r="D52">
            <v>0.04</v>
          </cell>
        </row>
        <row r="53">
          <cell r="C53">
            <v>51</v>
          </cell>
          <cell r="D53">
            <v>0.04</v>
          </cell>
        </row>
        <row r="54">
          <cell r="C54">
            <v>52</v>
          </cell>
          <cell r="D54">
            <v>0.04</v>
          </cell>
        </row>
        <row r="55">
          <cell r="C55">
            <v>53</v>
          </cell>
          <cell r="D55">
            <v>0.04</v>
          </cell>
        </row>
        <row r="56">
          <cell r="C56">
            <v>54</v>
          </cell>
          <cell r="D56">
            <v>0.04</v>
          </cell>
        </row>
        <row r="57">
          <cell r="C57">
            <v>55</v>
          </cell>
          <cell r="D57">
            <v>0.04</v>
          </cell>
        </row>
        <row r="58">
          <cell r="C58">
            <v>56</v>
          </cell>
          <cell r="D58">
            <v>0.04</v>
          </cell>
        </row>
        <row r="59">
          <cell r="C59">
            <v>57</v>
          </cell>
          <cell r="D59">
            <v>0.04</v>
          </cell>
        </row>
        <row r="60">
          <cell r="C60">
            <v>58</v>
          </cell>
          <cell r="D60">
            <v>0.04</v>
          </cell>
        </row>
        <row r="61">
          <cell r="C61">
            <v>59</v>
          </cell>
          <cell r="D61">
            <v>0.04</v>
          </cell>
        </row>
        <row r="62">
          <cell r="C62">
            <v>60</v>
          </cell>
          <cell r="D62">
            <v>0.04</v>
          </cell>
        </row>
        <row r="63">
          <cell r="C63">
            <v>61</v>
          </cell>
          <cell r="D63">
            <v>0.05</v>
          </cell>
        </row>
        <row r="64">
          <cell r="C64">
            <v>62</v>
          </cell>
          <cell r="D64">
            <v>0.05</v>
          </cell>
        </row>
        <row r="65">
          <cell r="C65">
            <v>63</v>
          </cell>
          <cell r="D65">
            <v>0.05</v>
          </cell>
        </row>
        <row r="66">
          <cell r="C66">
            <v>64</v>
          </cell>
          <cell r="D66">
            <v>0.05</v>
          </cell>
        </row>
        <row r="67">
          <cell r="C67">
            <v>65</v>
          </cell>
          <cell r="D67">
            <v>0.05</v>
          </cell>
        </row>
        <row r="68">
          <cell r="C68">
            <v>66</v>
          </cell>
          <cell r="D68">
            <v>0.05</v>
          </cell>
        </row>
        <row r="69">
          <cell r="C69">
            <v>67</v>
          </cell>
          <cell r="D69">
            <v>0.05</v>
          </cell>
        </row>
        <row r="70">
          <cell r="C70">
            <v>68</v>
          </cell>
          <cell r="D70">
            <v>0.05</v>
          </cell>
        </row>
        <row r="71">
          <cell r="C71">
            <v>69</v>
          </cell>
          <cell r="D71">
            <v>0.05</v>
          </cell>
        </row>
        <row r="72">
          <cell r="C72">
            <v>70</v>
          </cell>
          <cell r="D72">
            <v>0.05</v>
          </cell>
        </row>
        <row r="73">
          <cell r="C73">
            <v>71</v>
          </cell>
          <cell r="D73">
            <v>0.05</v>
          </cell>
        </row>
        <row r="74">
          <cell r="C74">
            <v>72</v>
          </cell>
          <cell r="D74">
            <v>0.05</v>
          </cell>
        </row>
        <row r="75">
          <cell r="C75">
            <v>73</v>
          </cell>
          <cell r="D75">
            <v>6.0000000000000005E-2</v>
          </cell>
        </row>
        <row r="76">
          <cell r="C76">
            <v>74</v>
          </cell>
          <cell r="D76">
            <v>6.0000000000000005E-2</v>
          </cell>
        </row>
        <row r="77">
          <cell r="C77">
            <v>75</v>
          </cell>
          <cell r="D77">
            <v>6.0000000000000005E-2</v>
          </cell>
        </row>
        <row r="78">
          <cell r="C78">
            <v>76</v>
          </cell>
          <cell r="D78">
            <v>6.0000000000000005E-2</v>
          </cell>
        </row>
        <row r="79">
          <cell r="C79">
            <v>77</v>
          </cell>
          <cell r="D79">
            <v>6.0000000000000005E-2</v>
          </cell>
        </row>
        <row r="80">
          <cell r="C80">
            <v>78</v>
          </cell>
          <cell r="D80">
            <v>6.0000000000000005E-2</v>
          </cell>
        </row>
        <row r="81">
          <cell r="C81">
            <v>79</v>
          </cell>
          <cell r="D81">
            <v>6.0000000000000005E-2</v>
          </cell>
        </row>
        <row r="82">
          <cell r="C82">
            <v>80</v>
          </cell>
          <cell r="D82">
            <v>6.0000000000000005E-2</v>
          </cell>
        </row>
        <row r="83">
          <cell r="C83">
            <v>81</v>
          </cell>
          <cell r="D83">
            <v>6.0000000000000005E-2</v>
          </cell>
        </row>
        <row r="84">
          <cell r="C84">
            <v>82</v>
          </cell>
          <cell r="D84">
            <v>6.0000000000000005E-2</v>
          </cell>
        </row>
        <row r="85">
          <cell r="C85">
            <v>83</v>
          </cell>
          <cell r="D85">
            <v>6.0000000000000005E-2</v>
          </cell>
        </row>
        <row r="86">
          <cell r="C86">
            <v>84</v>
          </cell>
          <cell r="D86">
            <v>6.0000000000000005E-2</v>
          </cell>
        </row>
        <row r="87">
          <cell r="C87">
            <v>85</v>
          </cell>
          <cell r="D87">
            <v>7.0000000000000007E-2</v>
          </cell>
        </row>
        <row r="88">
          <cell r="C88">
            <v>86</v>
          </cell>
          <cell r="D88">
            <v>7.0000000000000007E-2</v>
          </cell>
        </row>
        <row r="89">
          <cell r="C89">
            <v>87</v>
          </cell>
          <cell r="D89">
            <v>7.0000000000000007E-2</v>
          </cell>
        </row>
        <row r="90">
          <cell r="C90">
            <v>88</v>
          </cell>
          <cell r="D90">
            <v>7.0000000000000007E-2</v>
          </cell>
        </row>
        <row r="91">
          <cell r="C91">
            <v>89</v>
          </cell>
          <cell r="D91">
            <v>7.0000000000000007E-2</v>
          </cell>
        </row>
        <row r="92">
          <cell r="C92">
            <v>90</v>
          </cell>
          <cell r="D92">
            <v>7.0000000000000007E-2</v>
          </cell>
        </row>
        <row r="93">
          <cell r="C93">
            <v>91</v>
          </cell>
          <cell r="D93">
            <v>7.0000000000000007E-2</v>
          </cell>
        </row>
        <row r="94">
          <cell r="C94">
            <v>92</v>
          </cell>
          <cell r="D94">
            <v>7.0000000000000007E-2</v>
          </cell>
        </row>
        <row r="95">
          <cell r="C95">
            <v>93</v>
          </cell>
          <cell r="D95">
            <v>7.0000000000000007E-2</v>
          </cell>
        </row>
        <row r="96">
          <cell r="C96">
            <v>94</v>
          </cell>
          <cell r="D96">
            <v>7.0000000000000007E-2</v>
          </cell>
        </row>
        <row r="97">
          <cell r="C97">
            <v>95</v>
          </cell>
          <cell r="D97">
            <v>7.0000000000000007E-2</v>
          </cell>
        </row>
        <row r="98">
          <cell r="C98">
            <v>96</v>
          </cell>
          <cell r="D98">
            <v>7.0000000000000007E-2</v>
          </cell>
        </row>
        <row r="99">
          <cell r="C99">
            <v>97</v>
          </cell>
          <cell r="D99">
            <v>0.08</v>
          </cell>
        </row>
        <row r="100">
          <cell r="C100">
            <v>98</v>
          </cell>
          <cell r="D100">
            <v>0.08</v>
          </cell>
        </row>
        <row r="101">
          <cell r="C101">
            <v>99</v>
          </cell>
          <cell r="D101">
            <v>0.08</v>
          </cell>
        </row>
        <row r="102">
          <cell r="C102">
            <v>100</v>
          </cell>
          <cell r="D102">
            <v>0.08</v>
          </cell>
        </row>
        <row r="103">
          <cell r="C103">
            <v>101</v>
          </cell>
          <cell r="D103">
            <v>0.08</v>
          </cell>
        </row>
        <row r="104">
          <cell r="C104">
            <v>102</v>
          </cell>
          <cell r="D104">
            <v>0.08</v>
          </cell>
        </row>
        <row r="105">
          <cell r="C105">
            <v>103</v>
          </cell>
          <cell r="D105">
            <v>0.08</v>
          </cell>
        </row>
        <row r="106">
          <cell r="C106">
            <v>104</v>
          </cell>
          <cell r="D106">
            <v>0.08</v>
          </cell>
        </row>
        <row r="107">
          <cell r="C107">
            <v>105</v>
          </cell>
          <cell r="D107">
            <v>0.08</v>
          </cell>
        </row>
        <row r="108">
          <cell r="C108">
            <v>106</v>
          </cell>
          <cell r="D108">
            <v>0.08</v>
          </cell>
        </row>
        <row r="109">
          <cell r="C109">
            <v>107</v>
          </cell>
          <cell r="D109">
            <v>0.08</v>
          </cell>
        </row>
        <row r="110">
          <cell r="C110">
            <v>108</v>
          </cell>
          <cell r="D110">
            <v>0.08</v>
          </cell>
        </row>
        <row r="111">
          <cell r="C111">
            <v>109</v>
          </cell>
          <cell r="D111">
            <v>0.09</v>
          </cell>
        </row>
        <row r="112">
          <cell r="C112">
            <v>110</v>
          </cell>
          <cell r="D112">
            <v>0.09</v>
          </cell>
        </row>
        <row r="113">
          <cell r="C113">
            <v>111</v>
          </cell>
          <cell r="D113">
            <v>0.09</v>
          </cell>
        </row>
        <row r="114">
          <cell r="C114">
            <v>112</v>
          </cell>
          <cell r="D114">
            <v>0.09</v>
          </cell>
        </row>
        <row r="115">
          <cell r="C115">
            <v>113</v>
          </cell>
          <cell r="D115">
            <v>0.09</v>
          </cell>
        </row>
        <row r="116">
          <cell r="C116">
            <v>114</v>
          </cell>
          <cell r="D116">
            <v>0.09</v>
          </cell>
        </row>
        <row r="117">
          <cell r="C117">
            <v>115</v>
          </cell>
          <cell r="D117">
            <v>0.09</v>
          </cell>
        </row>
        <row r="118">
          <cell r="C118">
            <v>116</v>
          </cell>
          <cell r="D118">
            <v>0.09</v>
          </cell>
        </row>
        <row r="119">
          <cell r="C119">
            <v>117</v>
          </cell>
          <cell r="D119">
            <v>0.09</v>
          </cell>
        </row>
        <row r="120">
          <cell r="C120">
            <v>118</v>
          </cell>
          <cell r="D120">
            <v>0.09</v>
          </cell>
        </row>
        <row r="121">
          <cell r="C121">
            <v>119</v>
          </cell>
          <cell r="D121">
            <v>0.09</v>
          </cell>
        </row>
        <row r="122">
          <cell r="C122">
            <v>120</v>
          </cell>
          <cell r="D122">
            <v>0.09</v>
          </cell>
        </row>
        <row r="123">
          <cell r="C123">
            <v>121</v>
          </cell>
          <cell r="D123">
            <v>9.9999999999999992E-2</v>
          </cell>
        </row>
        <row r="124">
          <cell r="C124">
            <v>122</v>
          </cell>
          <cell r="D124">
            <v>9.9999999999999992E-2</v>
          </cell>
        </row>
        <row r="125">
          <cell r="C125">
            <v>123</v>
          </cell>
          <cell r="D125">
            <v>9.9999999999999992E-2</v>
          </cell>
        </row>
        <row r="126">
          <cell r="C126">
            <v>124</v>
          </cell>
          <cell r="D126">
            <v>9.9999999999999992E-2</v>
          </cell>
        </row>
        <row r="127">
          <cell r="C127">
            <v>125</v>
          </cell>
          <cell r="D127">
            <v>9.9999999999999992E-2</v>
          </cell>
        </row>
        <row r="128">
          <cell r="C128">
            <v>126</v>
          </cell>
          <cell r="D128">
            <v>9.9999999999999992E-2</v>
          </cell>
        </row>
        <row r="129">
          <cell r="C129">
            <v>127</v>
          </cell>
          <cell r="D129">
            <v>9.9999999999999992E-2</v>
          </cell>
        </row>
        <row r="130">
          <cell r="C130">
            <v>128</v>
          </cell>
          <cell r="D130">
            <v>9.9999999999999992E-2</v>
          </cell>
        </row>
        <row r="131">
          <cell r="C131">
            <v>129</v>
          </cell>
          <cell r="D131">
            <v>9.9999999999999992E-2</v>
          </cell>
        </row>
        <row r="132">
          <cell r="C132">
            <v>130</v>
          </cell>
          <cell r="D132">
            <v>9.9999999999999992E-2</v>
          </cell>
        </row>
        <row r="133">
          <cell r="C133">
            <v>131</v>
          </cell>
          <cell r="D133">
            <v>9.9999999999999992E-2</v>
          </cell>
        </row>
        <row r="134">
          <cell r="C134">
            <v>132</v>
          </cell>
          <cell r="D134">
            <v>9.9999999999999992E-2</v>
          </cell>
        </row>
        <row r="135">
          <cell r="C135">
            <v>133</v>
          </cell>
          <cell r="D135">
            <v>0.10999999999999999</v>
          </cell>
        </row>
        <row r="136">
          <cell r="C136">
            <v>134</v>
          </cell>
          <cell r="D136">
            <v>0.10999999999999999</v>
          </cell>
        </row>
        <row r="137">
          <cell r="C137">
            <v>135</v>
          </cell>
          <cell r="D137">
            <v>0.10999999999999999</v>
          </cell>
        </row>
        <row r="138">
          <cell r="C138">
            <v>136</v>
          </cell>
          <cell r="D138">
            <v>0.10999999999999999</v>
          </cell>
        </row>
        <row r="139">
          <cell r="C139">
            <v>137</v>
          </cell>
          <cell r="D139">
            <v>0.10999999999999999</v>
          </cell>
        </row>
        <row r="140">
          <cell r="C140">
            <v>138</v>
          </cell>
          <cell r="D140">
            <v>0.10999999999999999</v>
          </cell>
        </row>
        <row r="141">
          <cell r="C141">
            <v>139</v>
          </cell>
          <cell r="D141">
            <v>0.10999999999999999</v>
          </cell>
        </row>
        <row r="142">
          <cell r="C142">
            <v>140</v>
          </cell>
          <cell r="D142">
            <v>0.10999999999999999</v>
          </cell>
        </row>
        <row r="143">
          <cell r="C143">
            <v>141</v>
          </cell>
          <cell r="D143">
            <v>0.10999999999999999</v>
          </cell>
        </row>
        <row r="144">
          <cell r="C144">
            <v>142</v>
          </cell>
          <cell r="D144">
            <v>0.10999999999999999</v>
          </cell>
        </row>
        <row r="145">
          <cell r="C145">
            <v>143</v>
          </cell>
          <cell r="D145">
            <v>0.10999999999999999</v>
          </cell>
        </row>
        <row r="146">
          <cell r="C146">
            <v>144</v>
          </cell>
          <cell r="D146">
            <v>0.10999999999999999</v>
          </cell>
        </row>
        <row r="147">
          <cell r="C147">
            <v>145</v>
          </cell>
          <cell r="D147">
            <v>0.11999999999999998</v>
          </cell>
        </row>
        <row r="148">
          <cell r="C148">
            <v>146</v>
          </cell>
          <cell r="D148">
            <v>0.11999999999999998</v>
          </cell>
        </row>
        <row r="149">
          <cell r="C149">
            <v>147</v>
          </cell>
          <cell r="D149">
            <v>0.11999999999999998</v>
          </cell>
        </row>
        <row r="150">
          <cell r="C150">
            <v>148</v>
          </cell>
          <cell r="D150">
            <v>0.11999999999999998</v>
          </cell>
        </row>
        <row r="151">
          <cell r="C151">
            <v>149</v>
          </cell>
          <cell r="D151">
            <v>0.11999999999999998</v>
          </cell>
        </row>
        <row r="152">
          <cell r="C152">
            <v>150</v>
          </cell>
          <cell r="D152">
            <v>0.11999999999999998</v>
          </cell>
        </row>
        <row r="153">
          <cell r="C153">
            <v>151</v>
          </cell>
          <cell r="D153">
            <v>0.11999999999999998</v>
          </cell>
        </row>
        <row r="154">
          <cell r="C154">
            <v>152</v>
          </cell>
          <cell r="D154">
            <v>0.11999999999999998</v>
          </cell>
        </row>
        <row r="155">
          <cell r="C155">
            <v>153</v>
          </cell>
          <cell r="D155">
            <v>0.11999999999999998</v>
          </cell>
        </row>
        <row r="156">
          <cell r="C156">
            <v>154</v>
          </cell>
          <cell r="D156">
            <v>0.11999999999999998</v>
          </cell>
        </row>
        <row r="157">
          <cell r="C157">
            <v>155</v>
          </cell>
          <cell r="D157">
            <v>0.11999999999999998</v>
          </cell>
        </row>
        <row r="158">
          <cell r="C158">
            <v>156</v>
          </cell>
          <cell r="D158">
            <v>0.11999999999999998</v>
          </cell>
        </row>
        <row r="159">
          <cell r="C159">
            <v>157</v>
          </cell>
          <cell r="D159">
            <v>0.12999999999999998</v>
          </cell>
        </row>
        <row r="160">
          <cell r="C160">
            <v>158</v>
          </cell>
          <cell r="D160">
            <v>0.12999999999999998</v>
          </cell>
        </row>
        <row r="161">
          <cell r="C161">
            <v>159</v>
          </cell>
          <cell r="D161">
            <v>0.12999999999999998</v>
          </cell>
        </row>
        <row r="162">
          <cell r="C162">
            <v>160</v>
          </cell>
          <cell r="D162">
            <v>0.12999999999999998</v>
          </cell>
        </row>
        <row r="163">
          <cell r="C163">
            <v>161</v>
          </cell>
          <cell r="D163">
            <v>0.12999999999999998</v>
          </cell>
        </row>
        <row r="164">
          <cell r="C164">
            <v>162</v>
          </cell>
          <cell r="D164">
            <v>0.12999999999999998</v>
          </cell>
        </row>
        <row r="165">
          <cell r="C165">
            <v>163</v>
          </cell>
          <cell r="D165">
            <v>0.12999999999999998</v>
          </cell>
        </row>
        <row r="166">
          <cell r="C166">
            <v>164</v>
          </cell>
          <cell r="D166">
            <v>0.12999999999999998</v>
          </cell>
        </row>
        <row r="167">
          <cell r="C167">
            <v>165</v>
          </cell>
          <cell r="D167">
            <v>0.12999999999999998</v>
          </cell>
        </row>
        <row r="168">
          <cell r="C168">
            <v>166</v>
          </cell>
          <cell r="D168">
            <v>0.12999999999999998</v>
          </cell>
        </row>
        <row r="169">
          <cell r="C169">
            <v>167</v>
          </cell>
          <cell r="D169">
            <v>0.12999999999999998</v>
          </cell>
        </row>
        <row r="170">
          <cell r="C170">
            <v>168</v>
          </cell>
          <cell r="D170">
            <v>0.12999999999999998</v>
          </cell>
        </row>
        <row r="171">
          <cell r="C171">
            <v>169</v>
          </cell>
          <cell r="D171">
            <v>0.13999999999999999</v>
          </cell>
        </row>
        <row r="172">
          <cell r="C172">
            <v>170</v>
          </cell>
          <cell r="D172">
            <v>0.13999999999999999</v>
          </cell>
        </row>
        <row r="173">
          <cell r="C173">
            <v>171</v>
          </cell>
          <cell r="D173">
            <v>0.13999999999999999</v>
          </cell>
        </row>
        <row r="174">
          <cell r="C174">
            <v>172</v>
          </cell>
          <cell r="D174">
            <v>0.13999999999999999</v>
          </cell>
        </row>
        <row r="175">
          <cell r="C175">
            <v>173</v>
          </cell>
          <cell r="D175">
            <v>0.13999999999999999</v>
          </cell>
        </row>
        <row r="176">
          <cell r="C176">
            <v>174</v>
          </cell>
          <cell r="D176">
            <v>0.13999999999999999</v>
          </cell>
        </row>
        <row r="177">
          <cell r="C177">
            <v>175</v>
          </cell>
          <cell r="D177">
            <v>0.13999999999999999</v>
          </cell>
        </row>
        <row r="178">
          <cell r="C178">
            <v>176</v>
          </cell>
          <cell r="D178">
            <v>0.13999999999999999</v>
          </cell>
        </row>
        <row r="179">
          <cell r="C179">
            <v>177</v>
          </cell>
          <cell r="D179">
            <v>0.13999999999999999</v>
          </cell>
        </row>
        <row r="180">
          <cell r="C180">
            <v>178</v>
          </cell>
          <cell r="D180">
            <v>0.13999999999999999</v>
          </cell>
        </row>
        <row r="181">
          <cell r="C181">
            <v>179</v>
          </cell>
          <cell r="D181">
            <v>0.13999999999999999</v>
          </cell>
        </row>
        <row r="182">
          <cell r="C182">
            <v>180</v>
          </cell>
          <cell r="D182">
            <v>0.13999999999999999</v>
          </cell>
        </row>
        <row r="183">
          <cell r="C183">
            <v>181</v>
          </cell>
          <cell r="D183">
            <v>0.15</v>
          </cell>
        </row>
        <row r="184">
          <cell r="C184">
            <v>182</v>
          </cell>
          <cell r="D184">
            <v>0.15</v>
          </cell>
        </row>
        <row r="185">
          <cell r="C185">
            <v>183</v>
          </cell>
          <cell r="D185">
            <v>0.15</v>
          </cell>
        </row>
        <row r="186">
          <cell r="C186">
            <v>184</v>
          </cell>
          <cell r="D186">
            <v>0.15</v>
          </cell>
        </row>
        <row r="187">
          <cell r="C187">
            <v>185</v>
          </cell>
          <cell r="D187">
            <v>0.15</v>
          </cell>
        </row>
        <row r="188">
          <cell r="C188">
            <v>186</v>
          </cell>
          <cell r="D188">
            <v>0.15</v>
          </cell>
        </row>
        <row r="189">
          <cell r="C189">
            <v>187</v>
          </cell>
          <cell r="D189">
            <v>0.15</v>
          </cell>
        </row>
        <row r="190">
          <cell r="C190">
            <v>188</v>
          </cell>
          <cell r="D190">
            <v>0.15</v>
          </cell>
        </row>
        <row r="191">
          <cell r="C191">
            <v>189</v>
          </cell>
          <cell r="D191">
            <v>0.15</v>
          </cell>
        </row>
        <row r="192">
          <cell r="C192">
            <v>190</v>
          </cell>
          <cell r="D192">
            <v>0.15</v>
          </cell>
        </row>
        <row r="193">
          <cell r="C193">
            <v>191</v>
          </cell>
          <cell r="D193">
            <v>0.15</v>
          </cell>
        </row>
        <row r="194">
          <cell r="C194">
            <v>192</v>
          </cell>
          <cell r="D194">
            <v>0.15</v>
          </cell>
        </row>
        <row r="195">
          <cell r="C195">
            <v>193</v>
          </cell>
          <cell r="D195">
            <v>0.16</v>
          </cell>
        </row>
        <row r="196">
          <cell r="C196">
            <v>194</v>
          </cell>
          <cell r="D196">
            <v>0.16</v>
          </cell>
        </row>
        <row r="197">
          <cell r="C197">
            <v>195</v>
          </cell>
          <cell r="D197">
            <v>0.16</v>
          </cell>
        </row>
        <row r="198">
          <cell r="C198">
            <v>196</v>
          </cell>
          <cell r="D198">
            <v>0.16</v>
          </cell>
        </row>
        <row r="199">
          <cell r="C199">
            <v>197</v>
          </cell>
          <cell r="D199">
            <v>0.16</v>
          </cell>
        </row>
        <row r="200">
          <cell r="C200">
            <v>198</v>
          </cell>
          <cell r="D200">
            <v>0.16</v>
          </cell>
        </row>
        <row r="201">
          <cell r="C201">
            <v>199</v>
          </cell>
          <cell r="D201">
            <v>0.16</v>
          </cell>
        </row>
        <row r="202">
          <cell r="C202">
            <v>200</v>
          </cell>
          <cell r="D202">
            <v>0.16</v>
          </cell>
        </row>
        <row r="203">
          <cell r="C203">
            <v>201</v>
          </cell>
          <cell r="D203">
            <v>0.16</v>
          </cell>
        </row>
        <row r="204">
          <cell r="C204">
            <v>202</v>
          </cell>
          <cell r="D204">
            <v>0.16</v>
          </cell>
        </row>
        <row r="205">
          <cell r="C205">
            <v>203</v>
          </cell>
          <cell r="D205">
            <v>0.16</v>
          </cell>
        </row>
        <row r="206">
          <cell r="C206">
            <v>204</v>
          </cell>
          <cell r="D206">
            <v>0.16</v>
          </cell>
        </row>
        <row r="207">
          <cell r="C207">
            <v>205</v>
          </cell>
          <cell r="D207">
            <v>0.17</v>
          </cell>
        </row>
        <row r="208">
          <cell r="C208">
            <v>206</v>
          </cell>
          <cell r="D208">
            <v>0.17</v>
          </cell>
        </row>
        <row r="209">
          <cell r="C209">
            <v>207</v>
          </cell>
          <cell r="D209">
            <v>0.17</v>
          </cell>
        </row>
        <row r="210">
          <cell r="C210">
            <v>208</v>
          </cell>
          <cell r="D210">
            <v>0.17</v>
          </cell>
        </row>
        <row r="211">
          <cell r="C211">
            <v>209</v>
          </cell>
          <cell r="D211">
            <v>0.17</v>
          </cell>
        </row>
        <row r="212">
          <cell r="C212">
            <v>210</v>
          </cell>
          <cell r="D212">
            <v>0.17</v>
          </cell>
        </row>
        <row r="213">
          <cell r="C213">
            <v>211</v>
          </cell>
          <cell r="D213">
            <v>0.17</v>
          </cell>
        </row>
        <row r="214">
          <cell r="C214">
            <v>212</v>
          </cell>
          <cell r="D214">
            <v>0.17</v>
          </cell>
        </row>
        <row r="215">
          <cell r="C215">
            <v>213</v>
          </cell>
          <cell r="D215">
            <v>0.17</v>
          </cell>
        </row>
        <row r="216">
          <cell r="C216">
            <v>214</v>
          </cell>
          <cell r="D216">
            <v>0.17</v>
          </cell>
        </row>
        <row r="217">
          <cell r="C217">
            <v>215</v>
          </cell>
          <cell r="D217">
            <v>0.17</v>
          </cell>
        </row>
        <row r="218">
          <cell r="C218">
            <v>216</v>
          </cell>
          <cell r="D218">
            <v>0.17</v>
          </cell>
        </row>
        <row r="219">
          <cell r="C219">
            <v>217</v>
          </cell>
          <cell r="D219">
            <v>0.18</v>
          </cell>
        </row>
        <row r="220">
          <cell r="C220">
            <v>218</v>
          </cell>
          <cell r="D220">
            <v>0.18</v>
          </cell>
        </row>
        <row r="221">
          <cell r="C221">
            <v>219</v>
          </cell>
          <cell r="D221">
            <v>0.18</v>
          </cell>
        </row>
        <row r="222">
          <cell r="C222">
            <v>220</v>
          </cell>
          <cell r="D222">
            <v>0.18</v>
          </cell>
        </row>
        <row r="223">
          <cell r="C223">
            <v>221</v>
          </cell>
          <cell r="D223">
            <v>0.18</v>
          </cell>
        </row>
        <row r="224">
          <cell r="C224">
            <v>222</v>
          </cell>
          <cell r="D224">
            <v>0.18</v>
          </cell>
        </row>
        <row r="225">
          <cell r="C225">
            <v>223</v>
          </cell>
          <cell r="D225">
            <v>0.18</v>
          </cell>
        </row>
        <row r="226">
          <cell r="C226">
            <v>224</v>
          </cell>
          <cell r="D226">
            <v>0.18</v>
          </cell>
        </row>
        <row r="227">
          <cell r="C227">
            <v>225</v>
          </cell>
          <cell r="D227">
            <v>0.18</v>
          </cell>
        </row>
        <row r="228">
          <cell r="C228">
            <v>226</v>
          </cell>
          <cell r="D228">
            <v>0.18</v>
          </cell>
        </row>
        <row r="229">
          <cell r="C229">
            <v>227</v>
          </cell>
          <cell r="D229">
            <v>0.18</v>
          </cell>
        </row>
        <row r="230">
          <cell r="C230">
            <v>228</v>
          </cell>
          <cell r="D230">
            <v>0.18</v>
          </cell>
        </row>
        <row r="231">
          <cell r="C231">
            <v>229</v>
          </cell>
          <cell r="D231">
            <v>0.19</v>
          </cell>
        </row>
        <row r="232">
          <cell r="C232">
            <v>230</v>
          </cell>
          <cell r="D232">
            <v>0.19</v>
          </cell>
        </row>
        <row r="233">
          <cell r="C233">
            <v>231</v>
          </cell>
          <cell r="D233">
            <v>0.19</v>
          </cell>
        </row>
        <row r="234">
          <cell r="C234">
            <v>232</v>
          </cell>
          <cell r="D234">
            <v>0.19</v>
          </cell>
        </row>
        <row r="235">
          <cell r="C235">
            <v>233</v>
          </cell>
          <cell r="D235">
            <v>0.19</v>
          </cell>
        </row>
        <row r="236">
          <cell r="C236">
            <v>234</v>
          </cell>
          <cell r="D236">
            <v>0.19</v>
          </cell>
        </row>
        <row r="237">
          <cell r="C237">
            <v>235</v>
          </cell>
          <cell r="D237">
            <v>0.19</v>
          </cell>
        </row>
        <row r="238">
          <cell r="C238">
            <v>236</v>
          </cell>
          <cell r="D238">
            <v>0.19</v>
          </cell>
        </row>
        <row r="239">
          <cell r="C239">
            <v>237</v>
          </cell>
          <cell r="D239">
            <v>0.19</v>
          </cell>
        </row>
        <row r="240">
          <cell r="C240">
            <v>238</v>
          </cell>
          <cell r="D240">
            <v>0.19</v>
          </cell>
        </row>
        <row r="241">
          <cell r="C241">
            <v>239</v>
          </cell>
          <cell r="D241">
            <v>0.19</v>
          </cell>
        </row>
        <row r="242">
          <cell r="C242">
            <v>240</v>
          </cell>
          <cell r="D242">
            <v>0.19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8">
          <cell r="A8">
            <v>3</v>
          </cell>
          <cell r="C8" t="str">
            <v>Ngô Đình Chung</v>
          </cell>
          <cell r="D8" t="str">
            <v>TB ATLĐ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Đóng gói trong giờ"/>
      <sheetName val="Đóng gói ngoài giờ"/>
      <sheetName val="Bốc hàng trong giờ new"/>
      <sheetName val="Bốc hàng ngoài giờ new"/>
      <sheetName val="Tổng hợp trong giờ"/>
      <sheetName val="Tổng hợp ngoài giờ"/>
      <sheetName val=" Bang luong"/>
      <sheetName val="Thẻ lương"/>
      <sheetName val="CHẤM CÔNG TRONG THÁNG"/>
      <sheetName val="Mã NV"/>
      <sheetName val="ung luong"/>
      <sheetName val="Định mức"/>
      <sheetName val="thang luong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47">
          <cell r="AG47" t="e">
            <v>#N/A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81"/>
  <sheetViews>
    <sheetView workbookViewId="0">
      <selection activeCell="E1" sqref="E1"/>
    </sheetView>
  </sheetViews>
  <sheetFormatPr defaultRowHeight="15" x14ac:dyDescent="0.25"/>
  <cols>
    <col min="2" max="2" width="4" customWidth="1"/>
    <col min="3" max="3" width="10.5703125" style="30" bestFit="1" customWidth="1"/>
    <col min="4" max="5" width="9.140625" style="30"/>
  </cols>
  <sheetData>
    <row r="1" spans="1:3" x14ac:dyDescent="0.25">
      <c r="A1" s="13" t="s">
        <v>208</v>
      </c>
      <c r="B1">
        <v>1</v>
      </c>
      <c r="C1" s="30">
        <f>VLOOKUP(A1,'Thang bảng lương'!$B$7:$K$44,2,0)</f>
        <v>7490</v>
      </c>
    </row>
    <row r="2" spans="1:3" x14ac:dyDescent="0.25">
      <c r="A2" s="13" t="s">
        <v>208</v>
      </c>
      <c r="B2">
        <v>2</v>
      </c>
      <c r="C2" s="30">
        <f>VLOOKUP(A2,'Thang bảng lương'!$B$7:$K$44,3,0)</f>
        <v>9362.5</v>
      </c>
    </row>
    <row r="3" spans="1:3" x14ac:dyDescent="0.25">
      <c r="A3" s="13" t="s">
        <v>208</v>
      </c>
      <c r="B3">
        <v>3</v>
      </c>
      <c r="C3" s="30">
        <f>VLOOKUP(A3,'Thang bảng lương'!$B$7:$K$44,4,0)</f>
        <v>11235</v>
      </c>
    </row>
    <row r="4" spans="1:3" x14ac:dyDescent="0.25">
      <c r="A4" s="13" t="s">
        <v>208</v>
      </c>
      <c r="B4">
        <v>4</v>
      </c>
      <c r="C4" s="30">
        <f>VLOOKUP(A4,'Thang bảng lương'!$B$7:$K$44,5,0)</f>
        <v>13107.5</v>
      </c>
    </row>
    <row r="5" spans="1:3" x14ac:dyDescent="0.25">
      <c r="A5" s="13" t="s">
        <v>208</v>
      </c>
      <c r="B5">
        <v>5</v>
      </c>
      <c r="C5" s="30">
        <f>VLOOKUP(A5,'Thang bảng lương'!$B$7:$K$44,6,0)</f>
        <v>14980</v>
      </c>
    </row>
    <row r="6" spans="1:3" x14ac:dyDescent="0.25">
      <c r="A6" s="13" t="s">
        <v>208</v>
      </c>
      <c r="B6">
        <v>6</v>
      </c>
      <c r="C6" s="30">
        <f>VLOOKUP(A6,'Thang bảng lương'!$B$7:$K$44,7,0)</f>
        <v>16852.5</v>
      </c>
    </row>
    <row r="7" spans="1:3" x14ac:dyDescent="0.25">
      <c r="A7" s="13" t="s">
        <v>208</v>
      </c>
      <c r="B7">
        <v>7</v>
      </c>
      <c r="C7" s="30">
        <f>VLOOKUP(A7,'Thang bảng lương'!$B$7:$K$44,8,0)</f>
        <v>18725</v>
      </c>
    </row>
    <row r="8" spans="1:3" x14ac:dyDescent="0.25">
      <c r="A8" s="13" t="s">
        <v>208</v>
      </c>
      <c r="B8">
        <v>8</v>
      </c>
      <c r="C8" s="30">
        <f>VLOOKUP(A8,'Thang bảng lương'!$B$7:$K$44,9,0)</f>
        <v>20597.5</v>
      </c>
    </row>
    <row r="9" spans="1:3" x14ac:dyDescent="0.25">
      <c r="A9" s="13" t="s">
        <v>208</v>
      </c>
      <c r="B9">
        <v>9</v>
      </c>
      <c r="C9" s="30">
        <f>VLOOKUP(A9,'Thang bảng lương'!$B$7:$K$44,10,0)</f>
        <v>22470</v>
      </c>
    </row>
    <row r="10" spans="1:3" x14ac:dyDescent="0.25">
      <c r="A10" s="13" t="s">
        <v>209</v>
      </c>
      <c r="B10">
        <v>1</v>
      </c>
      <c r="C10" s="30">
        <f>VLOOKUP(A10,'Thang bảng lương'!$B$7:$K$44,2,0)</f>
        <v>7490</v>
      </c>
    </row>
    <row r="11" spans="1:3" x14ac:dyDescent="0.25">
      <c r="A11" s="13" t="s">
        <v>209</v>
      </c>
      <c r="B11">
        <v>2</v>
      </c>
      <c r="C11" s="30">
        <f>VLOOKUP(A11,'Thang bảng lương'!$B$7:$K$44,3,0)</f>
        <v>8988</v>
      </c>
    </row>
    <row r="12" spans="1:3" x14ac:dyDescent="0.25">
      <c r="A12" s="13" t="s">
        <v>209</v>
      </c>
      <c r="B12">
        <v>3</v>
      </c>
      <c r="C12" s="30">
        <f>VLOOKUP(A12,'Thang bảng lương'!$B$7:$K$44,4,0)</f>
        <v>10486</v>
      </c>
    </row>
    <row r="13" spans="1:3" x14ac:dyDescent="0.25">
      <c r="A13" s="13" t="s">
        <v>209</v>
      </c>
      <c r="B13">
        <v>4</v>
      </c>
      <c r="C13" s="30">
        <f>VLOOKUP(A13,'Thang bảng lương'!$B$7:$K$44,5,0)</f>
        <v>11984</v>
      </c>
    </row>
    <row r="14" spans="1:3" x14ac:dyDescent="0.25">
      <c r="A14" s="13" t="s">
        <v>209</v>
      </c>
      <c r="B14">
        <v>5</v>
      </c>
      <c r="C14" s="30">
        <f>VLOOKUP(A14,'Thang bảng lương'!$B$7:$K$44,6,0)</f>
        <v>13482</v>
      </c>
    </row>
    <row r="15" spans="1:3" x14ac:dyDescent="0.25">
      <c r="A15" s="13" t="s">
        <v>209</v>
      </c>
      <c r="B15">
        <v>6</v>
      </c>
      <c r="C15" s="30">
        <f>VLOOKUP(A15,'Thang bảng lương'!$B$7:$K$44,7,0)</f>
        <v>14980</v>
      </c>
    </row>
    <row r="16" spans="1:3" x14ac:dyDescent="0.25">
      <c r="A16" s="13" t="s">
        <v>209</v>
      </c>
      <c r="B16">
        <v>7</v>
      </c>
      <c r="C16" s="30">
        <f>VLOOKUP(A16,'Thang bảng lương'!$B$7:$K$44,8,0)</f>
        <v>16478.000000000004</v>
      </c>
    </row>
    <row r="17" spans="1:3" x14ac:dyDescent="0.25">
      <c r="A17" s="13" t="s">
        <v>209</v>
      </c>
      <c r="B17">
        <v>8</v>
      </c>
      <c r="C17" s="30">
        <f>VLOOKUP(A17,'Thang bảng lương'!$B$7:$K$44,9,0)</f>
        <v>17976</v>
      </c>
    </row>
    <row r="18" spans="1:3" x14ac:dyDescent="0.25">
      <c r="A18" s="13" t="s">
        <v>209</v>
      </c>
      <c r="B18">
        <v>9</v>
      </c>
      <c r="C18" s="30">
        <f>VLOOKUP(A18,'Thang bảng lương'!$B$7:$K$44,10,0)</f>
        <v>19474</v>
      </c>
    </row>
    <row r="19" spans="1:3" x14ac:dyDescent="0.25">
      <c r="A19" s="13" t="s">
        <v>210</v>
      </c>
      <c r="B19">
        <v>1</v>
      </c>
      <c r="C19" s="30">
        <f>VLOOKUP(A19,'Thang bảng lương'!$B$7:$K$44,2,0)</f>
        <v>6366.5</v>
      </c>
    </row>
    <row r="20" spans="1:3" x14ac:dyDescent="0.25">
      <c r="A20" s="13" t="s">
        <v>210</v>
      </c>
      <c r="B20">
        <v>2</v>
      </c>
      <c r="C20" s="30">
        <f>VLOOKUP(A20,'Thang bảng lương'!$B$7:$K$44,3,0)</f>
        <v>7490</v>
      </c>
    </row>
    <row r="21" spans="1:3" x14ac:dyDescent="0.25">
      <c r="A21" s="13" t="s">
        <v>210</v>
      </c>
      <c r="B21">
        <v>3</v>
      </c>
      <c r="C21" s="30">
        <f>VLOOKUP(A21,'Thang bảng lương'!$B$7:$K$44,4,0)</f>
        <v>8613.5</v>
      </c>
    </row>
    <row r="22" spans="1:3" x14ac:dyDescent="0.25">
      <c r="A22" s="13" t="s">
        <v>210</v>
      </c>
      <c r="B22">
        <v>4</v>
      </c>
      <c r="C22" s="30">
        <f>VLOOKUP(A22,'Thang bảng lương'!$B$7:$K$44,5,0)</f>
        <v>9737</v>
      </c>
    </row>
    <row r="23" spans="1:3" x14ac:dyDescent="0.25">
      <c r="A23" s="13" t="s">
        <v>210</v>
      </c>
      <c r="B23">
        <v>5</v>
      </c>
      <c r="C23" s="30">
        <f>VLOOKUP(A23,'Thang bảng lương'!$B$7:$K$44,6,0)</f>
        <v>10860.5</v>
      </c>
    </row>
    <row r="24" spans="1:3" x14ac:dyDescent="0.25">
      <c r="A24" s="13" t="s">
        <v>210</v>
      </c>
      <c r="B24">
        <v>6</v>
      </c>
      <c r="C24" s="30">
        <f>VLOOKUP(A24,'Thang bảng lương'!$B$7:$K$44,7,0)</f>
        <v>11984</v>
      </c>
    </row>
    <row r="25" spans="1:3" x14ac:dyDescent="0.25">
      <c r="A25" s="13" t="s">
        <v>210</v>
      </c>
      <c r="B25">
        <v>7</v>
      </c>
      <c r="C25" s="30">
        <f>VLOOKUP(A25,'Thang bảng lương'!$B$7:$K$44,8,0)</f>
        <v>13107.5</v>
      </c>
    </row>
    <row r="26" spans="1:3" x14ac:dyDescent="0.25">
      <c r="A26" s="13" t="s">
        <v>210</v>
      </c>
      <c r="B26">
        <v>8</v>
      </c>
      <c r="C26" s="30">
        <f>VLOOKUP(A26,'Thang bảng lương'!$B$7:$K$44,9,0)</f>
        <v>14231</v>
      </c>
    </row>
    <row r="27" spans="1:3" x14ac:dyDescent="0.25">
      <c r="A27" s="13" t="s">
        <v>210</v>
      </c>
      <c r="B27">
        <v>9</v>
      </c>
      <c r="C27" s="30">
        <f>VLOOKUP(A27,'Thang bảng lương'!$B$7:$K$44,10,0)</f>
        <v>15354.499999999998</v>
      </c>
    </row>
    <row r="28" spans="1:3" x14ac:dyDescent="0.25">
      <c r="A28" s="13" t="s">
        <v>211</v>
      </c>
      <c r="B28">
        <v>1</v>
      </c>
      <c r="C28" s="30">
        <f>VLOOKUP(A28,'Thang bảng lương'!$B$7:$K$44,2,0)</f>
        <v>5617.5</v>
      </c>
    </row>
    <row r="29" spans="1:3" x14ac:dyDescent="0.25">
      <c r="A29" s="13" t="s">
        <v>211</v>
      </c>
      <c r="B29">
        <v>2</v>
      </c>
      <c r="C29" s="30">
        <f>VLOOKUP(A29,'Thang bảng lương'!$B$7:$K$44,3,0)</f>
        <v>6366.5</v>
      </c>
    </row>
    <row r="30" spans="1:3" x14ac:dyDescent="0.25">
      <c r="A30" s="13" t="s">
        <v>211</v>
      </c>
      <c r="B30">
        <v>3</v>
      </c>
      <c r="C30" s="30">
        <f>VLOOKUP(A30,'Thang bảng lương'!$B$7:$K$44,4,0)</f>
        <v>7115.5</v>
      </c>
    </row>
    <row r="31" spans="1:3" x14ac:dyDescent="0.25">
      <c r="A31" s="13" t="s">
        <v>211</v>
      </c>
      <c r="B31">
        <v>4</v>
      </c>
      <c r="C31" s="30">
        <f>VLOOKUP(A31,'Thang bảng lương'!$B$7:$K$44,5,0)</f>
        <v>7864.5</v>
      </c>
    </row>
    <row r="32" spans="1:3" x14ac:dyDescent="0.25">
      <c r="A32" s="13" t="s">
        <v>211</v>
      </c>
      <c r="B32">
        <v>5</v>
      </c>
      <c r="C32" s="30">
        <f>VLOOKUP(A32,'Thang bảng lương'!$B$7:$K$44,6,0)</f>
        <v>8613.5</v>
      </c>
    </row>
    <row r="33" spans="1:3" x14ac:dyDescent="0.25">
      <c r="A33" s="13" t="s">
        <v>211</v>
      </c>
      <c r="B33">
        <v>6</v>
      </c>
      <c r="C33" s="30">
        <f>VLOOKUP(A33,'Thang bảng lương'!$B$7:$K$44,7,0)</f>
        <v>9362.5</v>
      </c>
    </row>
    <row r="34" spans="1:3" x14ac:dyDescent="0.25">
      <c r="A34" s="13" t="s">
        <v>211</v>
      </c>
      <c r="B34">
        <v>7</v>
      </c>
      <c r="C34" s="30">
        <f>VLOOKUP(A34,'Thang bảng lương'!$B$7:$K$44,8,0)</f>
        <v>10111.5</v>
      </c>
    </row>
    <row r="35" spans="1:3" x14ac:dyDescent="0.25">
      <c r="A35" s="13" t="s">
        <v>211</v>
      </c>
      <c r="B35">
        <v>8</v>
      </c>
      <c r="C35" s="30">
        <f>VLOOKUP(A35,'Thang bảng lương'!$B$7:$K$44,9,0)</f>
        <v>10860.5</v>
      </c>
    </row>
    <row r="36" spans="1:3" x14ac:dyDescent="0.25">
      <c r="A36" s="13" t="s">
        <v>211</v>
      </c>
      <c r="B36">
        <v>9</v>
      </c>
      <c r="C36" s="30">
        <f>VLOOKUP(A36,'Thang bảng lương'!$B$7:$K$44,10,0)</f>
        <v>11609.5</v>
      </c>
    </row>
    <row r="37" spans="1:3" x14ac:dyDescent="0.25">
      <c r="A37" s="13" t="s">
        <v>212</v>
      </c>
      <c r="B37">
        <v>1</v>
      </c>
      <c r="C37" s="30">
        <f>VLOOKUP(A37,'Thang bảng lương'!$B$7:$K$44,2,0)</f>
        <v>3745</v>
      </c>
    </row>
    <row r="38" spans="1:3" x14ac:dyDescent="0.25">
      <c r="A38" s="13" t="s">
        <v>212</v>
      </c>
      <c r="B38">
        <v>2</v>
      </c>
      <c r="C38" s="30">
        <f>VLOOKUP(A38,'Thang bảng lương'!$B$7:$K$44,3,0)</f>
        <v>4494</v>
      </c>
    </row>
    <row r="39" spans="1:3" x14ac:dyDescent="0.25">
      <c r="A39" s="13" t="s">
        <v>212</v>
      </c>
      <c r="B39">
        <v>3</v>
      </c>
      <c r="C39" s="30">
        <f>VLOOKUP(A39,'Thang bảng lương'!$B$7:$K$44,4,0)</f>
        <v>5243</v>
      </c>
    </row>
    <row r="40" spans="1:3" x14ac:dyDescent="0.25">
      <c r="A40" s="13" t="s">
        <v>212</v>
      </c>
      <c r="B40">
        <v>4</v>
      </c>
      <c r="C40" s="30">
        <f>VLOOKUP(A40,'Thang bảng lương'!$B$7:$K$44,5,0)</f>
        <v>5992</v>
      </c>
    </row>
    <row r="41" spans="1:3" x14ac:dyDescent="0.25">
      <c r="A41" s="13" t="s">
        <v>212</v>
      </c>
      <c r="B41">
        <v>5</v>
      </c>
      <c r="C41" s="30">
        <f>VLOOKUP(A41,'Thang bảng lương'!$B$7:$K$44,6,0)</f>
        <v>6741</v>
      </c>
    </row>
    <row r="42" spans="1:3" x14ac:dyDescent="0.25">
      <c r="A42" s="13" t="s">
        <v>212</v>
      </c>
      <c r="B42">
        <v>6</v>
      </c>
      <c r="C42" s="30">
        <f>VLOOKUP(A42,'Thang bảng lương'!$B$7:$K$44,7,0)</f>
        <v>7490</v>
      </c>
    </row>
    <row r="43" spans="1:3" x14ac:dyDescent="0.25">
      <c r="A43" s="13" t="s">
        <v>212</v>
      </c>
      <c r="B43">
        <v>7</v>
      </c>
      <c r="C43" s="30">
        <f>VLOOKUP(A43,'Thang bảng lương'!$B$7:$K$44,8,0)</f>
        <v>8239.0000000000018</v>
      </c>
    </row>
    <row r="44" spans="1:3" x14ac:dyDescent="0.25">
      <c r="A44" s="13" t="s">
        <v>212</v>
      </c>
      <c r="B44">
        <v>8</v>
      </c>
      <c r="C44" s="30">
        <f>VLOOKUP(A44,'Thang bảng lương'!$B$7:$K$44,9,0)</f>
        <v>8988</v>
      </c>
    </row>
    <row r="45" spans="1:3" x14ac:dyDescent="0.25">
      <c r="A45" s="13" t="s">
        <v>212</v>
      </c>
      <c r="B45">
        <v>9</v>
      </c>
      <c r="C45" s="30">
        <f>VLOOKUP(A45,'Thang bảng lương'!$B$7:$K$44,10,0)</f>
        <v>9737</v>
      </c>
    </row>
    <row r="46" spans="1:3" x14ac:dyDescent="0.25">
      <c r="A46" s="13" t="s">
        <v>233</v>
      </c>
      <c r="B46">
        <v>1</v>
      </c>
      <c r="C46" s="30">
        <f>VLOOKUP(A46,'Thang bảng lương'!$B$7:$K$44,2,0)</f>
        <v>3745</v>
      </c>
    </row>
    <row r="47" spans="1:3" x14ac:dyDescent="0.25">
      <c r="A47" s="13" t="s">
        <v>233</v>
      </c>
      <c r="B47">
        <v>2</v>
      </c>
      <c r="C47" s="30">
        <f>VLOOKUP(A47,'Thang bảng lương'!$B$7:$K$44,3,0)</f>
        <v>4119.5000000000009</v>
      </c>
    </row>
    <row r="48" spans="1:3" x14ac:dyDescent="0.25">
      <c r="A48" s="13" t="s">
        <v>233</v>
      </c>
      <c r="B48">
        <v>3</v>
      </c>
      <c r="C48" s="30">
        <f>VLOOKUP(A48,'Thang bảng lương'!$B$7:$K$44,4,0)</f>
        <v>4494</v>
      </c>
    </row>
    <row r="49" spans="1:3" x14ac:dyDescent="0.25">
      <c r="A49" s="13" t="s">
        <v>233</v>
      </c>
      <c r="B49">
        <v>4</v>
      </c>
      <c r="C49" s="30">
        <f>VLOOKUP(A49,'Thang bảng lương'!$B$7:$K$44,5,0)</f>
        <v>4868.5</v>
      </c>
    </row>
    <row r="50" spans="1:3" x14ac:dyDescent="0.25">
      <c r="A50" s="13" t="s">
        <v>233</v>
      </c>
      <c r="B50">
        <v>5</v>
      </c>
      <c r="C50" s="30">
        <f>VLOOKUP(A50,'Thang bảng lương'!$B$7:$K$44,6,0)</f>
        <v>5243</v>
      </c>
    </row>
    <row r="51" spans="1:3" x14ac:dyDescent="0.25">
      <c r="A51" s="13" t="s">
        <v>233</v>
      </c>
      <c r="B51">
        <v>6</v>
      </c>
      <c r="C51" s="30">
        <f>VLOOKUP(A51,'Thang bảng lương'!$B$7:$K$44,7,0)</f>
        <v>5617.5</v>
      </c>
    </row>
    <row r="52" spans="1:3" x14ac:dyDescent="0.25">
      <c r="A52" s="13" t="s">
        <v>233</v>
      </c>
      <c r="B52">
        <v>7</v>
      </c>
      <c r="C52" s="30">
        <f>VLOOKUP(A52,'Thang bảng lương'!$B$7:$K$44,8,0)</f>
        <v>5992</v>
      </c>
    </row>
    <row r="53" spans="1:3" x14ac:dyDescent="0.25">
      <c r="A53" s="13" t="s">
        <v>233</v>
      </c>
      <c r="B53">
        <v>8</v>
      </c>
      <c r="C53" s="30">
        <f>VLOOKUP(A53,'Thang bảng lương'!$B$7:$K$44,9,0)</f>
        <v>6366.5</v>
      </c>
    </row>
    <row r="54" spans="1:3" x14ac:dyDescent="0.25">
      <c r="A54" s="13" t="s">
        <v>233</v>
      </c>
      <c r="B54">
        <v>9</v>
      </c>
      <c r="C54" s="30">
        <f>VLOOKUP(A54,'Thang bảng lương'!$B$7:$K$44,10,0)</f>
        <v>6741</v>
      </c>
    </row>
    <row r="55" spans="1:3" x14ac:dyDescent="0.25">
      <c r="A55" s="13" t="s">
        <v>234</v>
      </c>
      <c r="B55">
        <v>1</v>
      </c>
      <c r="C55" s="30">
        <f>VLOOKUP(A55,'Thang bảng lương'!$B$7:$K$44,2,0)</f>
        <v>3745</v>
      </c>
    </row>
    <row r="56" spans="1:3" x14ac:dyDescent="0.25">
      <c r="A56" s="13" t="s">
        <v>234</v>
      </c>
      <c r="B56">
        <v>2</v>
      </c>
      <c r="C56" s="30">
        <f>VLOOKUP(A56,'Thang bảng lương'!$B$7:$K$44,3,0)</f>
        <v>4119.5000000000009</v>
      </c>
    </row>
    <row r="57" spans="1:3" x14ac:dyDescent="0.25">
      <c r="A57" s="13" t="s">
        <v>234</v>
      </c>
      <c r="B57">
        <v>3</v>
      </c>
      <c r="C57" s="30">
        <f>VLOOKUP(A57,'Thang bảng lương'!$B$7:$K$44,4,0)</f>
        <v>4494</v>
      </c>
    </row>
    <row r="58" spans="1:3" x14ac:dyDescent="0.25">
      <c r="A58" s="13" t="s">
        <v>234</v>
      </c>
      <c r="B58">
        <v>4</v>
      </c>
      <c r="C58" s="30">
        <f>VLOOKUP(A58,'Thang bảng lương'!$B$7:$K$44,5,0)</f>
        <v>4868.5</v>
      </c>
    </row>
    <row r="59" spans="1:3" x14ac:dyDescent="0.25">
      <c r="A59" s="13" t="s">
        <v>234</v>
      </c>
      <c r="B59">
        <v>5</v>
      </c>
      <c r="C59" s="30">
        <f>VLOOKUP(A59,'Thang bảng lương'!$B$7:$K$44,6,0)</f>
        <v>5243</v>
      </c>
    </row>
    <row r="60" spans="1:3" x14ac:dyDescent="0.25">
      <c r="A60" s="13" t="s">
        <v>234</v>
      </c>
      <c r="B60">
        <v>6</v>
      </c>
      <c r="C60" s="30">
        <f>VLOOKUP(A60,'Thang bảng lương'!$B$7:$K$44,7,0)</f>
        <v>5617.5</v>
      </c>
    </row>
    <row r="61" spans="1:3" x14ac:dyDescent="0.25">
      <c r="A61" s="13" t="s">
        <v>234</v>
      </c>
      <c r="B61">
        <v>7</v>
      </c>
      <c r="C61" s="30">
        <f>VLOOKUP(A61,'Thang bảng lương'!$B$7:$K$44,8,0)</f>
        <v>5992</v>
      </c>
    </row>
    <row r="62" spans="1:3" x14ac:dyDescent="0.25">
      <c r="A62" s="13" t="s">
        <v>234</v>
      </c>
      <c r="B62">
        <v>8</v>
      </c>
      <c r="C62" s="30">
        <f>VLOOKUP(A62,'Thang bảng lương'!$B$7:$K$44,9,0)</f>
        <v>6366.5</v>
      </c>
    </row>
    <row r="63" spans="1:3" x14ac:dyDescent="0.25">
      <c r="A63" s="13" t="s">
        <v>234</v>
      </c>
      <c r="B63">
        <v>9</v>
      </c>
      <c r="C63" s="30">
        <f>VLOOKUP(A63,'Thang bảng lương'!$B$7:$K$44,10,0)</f>
        <v>6741</v>
      </c>
    </row>
    <row r="64" spans="1:3" x14ac:dyDescent="0.25">
      <c r="A64" s="13" t="s">
        <v>235</v>
      </c>
      <c r="B64">
        <v>1</v>
      </c>
      <c r="C64" s="30">
        <f>VLOOKUP(A64,'Thang bảng lương'!$B$7:$K$44,2,0)</f>
        <v>3745</v>
      </c>
    </row>
    <row r="65" spans="1:3" x14ac:dyDescent="0.25">
      <c r="A65" s="13" t="s">
        <v>235</v>
      </c>
      <c r="B65">
        <v>2</v>
      </c>
      <c r="C65" s="30">
        <f>VLOOKUP(A65,'Thang bảng lương'!$B$7:$K$44,3,0)</f>
        <v>3932.25</v>
      </c>
    </row>
    <row r="66" spans="1:3" x14ac:dyDescent="0.25">
      <c r="A66" s="13" t="s">
        <v>235</v>
      </c>
      <c r="B66">
        <v>3</v>
      </c>
      <c r="C66" s="30">
        <f>VLOOKUP(A66,'Thang bảng lương'!$B$7:$K$44,4,0)</f>
        <v>4119.5000000000009</v>
      </c>
    </row>
    <row r="67" spans="1:3" x14ac:dyDescent="0.25">
      <c r="A67" s="13" t="s">
        <v>235</v>
      </c>
      <c r="B67">
        <v>4</v>
      </c>
      <c r="C67" s="30">
        <f>VLOOKUP(A67,'Thang bảng lương'!$B$7:$K$44,5,0)</f>
        <v>4306.75</v>
      </c>
    </row>
    <row r="68" spans="1:3" x14ac:dyDescent="0.25">
      <c r="A68" s="13" t="s">
        <v>235</v>
      </c>
      <c r="B68">
        <v>5</v>
      </c>
      <c r="C68" s="30">
        <f>VLOOKUP(A68,'Thang bảng lương'!$B$7:$K$44,6,0)</f>
        <v>4494</v>
      </c>
    </row>
    <row r="69" spans="1:3" x14ac:dyDescent="0.25">
      <c r="A69" s="13" t="s">
        <v>235</v>
      </c>
      <c r="B69">
        <v>6</v>
      </c>
      <c r="C69" s="30">
        <f>VLOOKUP(A69,'Thang bảng lương'!$B$7:$K$44,7,0)</f>
        <v>4681.25</v>
      </c>
    </row>
    <row r="70" spans="1:3" x14ac:dyDescent="0.25">
      <c r="A70" s="13" t="s">
        <v>235</v>
      </c>
      <c r="B70">
        <v>7</v>
      </c>
      <c r="C70" s="30">
        <f>VLOOKUP(A70,'Thang bảng lương'!$B$7:$K$44,8,0)</f>
        <v>4868.5</v>
      </c>
    </row>
    <row r="71" spans="1:3" x14ac:dyDescent="0.25">
      <c r="A71" s="13" t="s">
        <v>235</v>
      </c>
      <c r="B71">
        <v>8</v>
      </c>
      <c r="C71" s="30">
        <f>VLOOKUP(A71,'Thang bảng lương'!$B$7:$K$44,9,0)</f>
        <v>5055.75</v>
      </c>
    </row>
    <row r="72" spans="1:3" x14ac:dyDescent="0.25">
      <c r="A72" s="13" t="s">
        <v>235</v>
      </c>
      <c r="B72">
        <v>9</v>
      </c>
      <c r="C72" s="30">
        <f>VLOOKUP(A72,'Thang bảng lương'!$B$7:$K$44,10,0)</f>
        <v>5243</v>
      </c>
    </row>
    <row r="73" spans="1:3" x14ac:dyDescent="0.25">
      <c r="A73" s="13" t="s">
        <v>236</v>
      </c>
      <c r="B73">
        <v>1</v>
      </c>
      <c r="C73" s="30">
        <f>VLOOKUP(A73,'Thang bảng lương'!$B$7:$K$44,2,0)</f>
        <v>3745</v>
      </c>
    </row>
    <row r="74" spans="1:3" x14ac:dyDescent="0.25">
      <c r="A74" s="13" t="s">
        <v>236</v>
      </c>
      <c r="B74">
        <v>2</v>
      </c>
      <c r="C74" s="30">
        <f>VLOOKUP(A74,'Thang bảng lương'!$B$7:$K$44,3,0)</f>
        <v>3932.25</v>
      </c>
    </row>
    <row r="75" spans="1:3" x14ac:dyDescent="0.25">
      <c r="A75" s="13" t="s">
        <v>236</v>
      </c>
      <c r="B75">
        <v>3</v>
      </c>
      <c r="C75" s="30">
        <f>VLOOKUP(A75,'Thang bảng lương'!$B$7:$K$44,4,0)</f>
        <v>4119.5000000000009</v>
      </c>
    </row>
    <row r="76" spans="1:3" x14ac:dyDescent="0.25">
      <c r="A76" s="13" t="s">
        <v>236</v>
      </c>
      <c r="B76">
        <v>4</v>
      </c>
      <c r="C76" s="30">
        <f>VLOOKUP(A76,'Thang bảng lương'!$B$7:$K$44,5,0)</f>
        <v>4306.75</v>
      </c>
    </row>
    <row r="77" spans="1:3" x14ac:dyDescent="0.25">
      <c r="A77" s="13" t="s">
        <v>236</v>
      </c>
      <c r="B77">
        <v>5</v>
      </c>
      <c r="C77" s="30">
        <f>VLOOKUP(A77,'Thang bảng lương'!$B$7:$K$44,6,0)</f>
        <v>4494</v>
      </c>
    </row>
    <row r="78" spans="1:3" x14ac:dyDescent="0.25">
      <c r="A78" s="13" t="s">
        <v>236</v>
      </c>
      <c r="B78">
        <v>6</v>
      </c>
      <c r="C78" s="30">
        <f>VLOOKUP(A78,'Thang bảng lương'!$B$7:$K$44,7,0)</f>
        <v>4681.25</v>
      </c>
    </row>
    <row r="79" spans="1:3" x14ac:dyDescent="0.25">
      <c r="A79" s="13" t="s">
        <v>236</v>
      </c>
      <c r="B79">
        <v>7</v>
      </c>
      <c r="C79" s="30">
        <f>VLOOKUP(A79,'Thang bảng lương'!$B$7:$K$44,8,0)</f>
        <v>4868.5</v>
      </c>
    </row>
    <row r="80" spans="1:3" x14ac:dyDescent="0.25">
      <c r="A80" s="13" t="s">
        <v>236</v>
      </c>
      <c r="B80">
        <v>8</v>
      </c>
      <c r="C80" s="30">
        <f>VLOOKUP(A80,'Thang bảng lương'!$B$7:$K$44,9,0)</f>
        <v>5055.75</v>
      </c>
    </row>
    <row r="81" spans="1:3" x14ac:dyDescent="0.25">
      <c r="A81" s="13" t="s">
        <v>236</v>
      </c>
      <c r="B81">
        <v>9</v>
      </c>
      <c r="C81" s="30">
        <f>VLOOKUP(A81,'Thang bảng lương'!$B$7:$K$44,10,0)</f>
        <v>5243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L44"/>
  <sheetViews>
    <sheetView workbookViewId="0">
      <selection activeCell="A21" sqref="A21"/>
    </sheetView>
  </sheetViews>
  <sheetFormatPr defaultRowHeight="15" x14ac:dyDescent="0.25"/>
  <cols>
    <col min="1" max="1" width="27.85546875" style="6" customWidth="1"/>
    <col min="2" max="2" width="16" style="6" customWidth="1"/>
    <col min="3" max="5" width="9.28515625" style="6" customWidth="1"/>
    <col min="6" max="6" width="10.28515625" style="6" bestFit="1" customWidth="1"/>
    <col min="7" max="11" width="9.28515625" style="6" customWidth="1"/>
    <col min="13" max="246" width="9.140625" style="6"/>
    <col min="247" max="247" width="38.140625" style="6" customWidth="1"/>
    <col min="248" max="248" width="9.140625" style="6"/>
    <col min="249" max="257" width="9.28515625" style="6" customWidth="1"/>
    <col min="258" max="502" width="9.140625" style="6"/>
    <col min="503" max="503" width="38.140625" style="6" customWidth="1"/>
    <col min="504" max="504" width="9.140625" style="6"/>
    <col min="505" max="513" width="9.28515625" style="6" customWidth="1"/>
    <col min="514" max="758" width="9.140625" style="6"/>
    <col min="759" max="759" width="38.140625" style="6" customWidth="1"/>
    <col min="760" max="760" width="9.140625" style="6"/>
    <col min="761" max="769" width="9.28515625" style="6" customWidth="1"/>
    <col min="770" max="1014" width="9.140625" style="6"/>
    <col min="1015" max="1015" width="38.140625" style="6" customWidth="1"/>
    <col min="1016" max="1016" width="9.140625" style="6"/>
    <col min="1017" max="1025" width="9.28515625" style="6" customWidth="1"/>
    <col min="1026" max="1270" width="9.140625" style="6"/>
    <col min="1271" max="1271" width="38.140625" style="6" customWidth="1"/>
    <col min="1272" max="1272" width="9.140625" style="6"/>
    <col min="1273" max="1281" width="9.28515625" style="6" customWidth="1"/>
    <col min="1282" max="1526" width="9.140625" style="6"/>
    <col min="1527" max="1527" width="38.140625" style="6" customWidth="1"/>
    <col min="1528" max="1528" width="9.140625" style="6"/>
    <col min="1529" max="1537" width="9.28515625" style="6" customWidth="1"/>
    <col min="1538" max="1782" width="9.140625" style="6"/>
    <col min="1783" max="1783" width="38.140625" style="6" customWidth="1"/>
    <col min="1784" max="1784" width="9.140625" style="6"/>
    <col min="1785" max="1793" width="9.28515625" style="6" customWidth="1"/>
    <col min="1794" max="2038" width="9.140625" style="6"/>
    <col min="2039" max="2039" width="38.140625" style="6" customWidth="1"/>
    <col min="2040" max="2040" width="9.140625" style="6"/>
    <col min="2041" max="2049" width="9.28515625" style="6" customWidth="1"/>
    <col min="2050" max="2294" width="9.140625" style="6"/>
    <col min="2295" max="2295" width="38.140625" style="6" customWidth="1"/>
    <col min="2296" max="2296" width="9.140625" style="6"/>
    <col min="2297" max="2305" width="9.28515625" style="6" customWidth="1"/>
    <col min="2306" max="2550" width="9.140625" style="6"/>
    <col min="2551" max="2551" width="38.140625" style="6" customWidth="1"/>
    <col min="2552" max="2552" width="9.140625" style="6"/>
    <col min="2553" max="2561" width="9.28515625" style="6" customWidth="1"/>
    <col min="2562" max="2806" width="9.140625" style="6"/>
    <col min="2807" max="2807" width="38.140625" style="6" customWidth="1"/>
    <col min="2808" max="2808" width="9.140625" style="6"/>
    <col min="2809" max="2817" width="9.28515625" style="6" customWidth="1"/>
    <col min="2818" max="3062" width="9.140625" style="6"/>
    <col min="3063" max="3063" width="38.140625" style="6" customWidth="1"/>
    <col min="3064" max="3064" width="9.140625" style="6"/>
    <col min="3065" max="3073" width="9.28515625" style="6" customWidth="1"/>
    <col min="3074" max="3318" width="9.140625" style="6"/>
    <col min="3319" max="3319" width="38.140625" style="6" customWidth="1"/>
    <col min="3320" max="3320" width="9.140625" style="6"/>
    <col min="3321" max="3329" width="9.28515625" style="6" customWidth="1"/>
    <col min="3330" max="3574" width="9.140625" style="6"/>
    <col min="3575" max="3575" width="38.140625" style="6" customWidth="1"/>
    <col min="3576" max="3576" width="9.140625" style="6"/>
    <col min="3577" max="3585" width="9.28515625" style="6" customWidth="1"/>
    <col min="3586" max="3830" width="9.140625" style="6"/>
    <col min="3831" max="3831" width="38.140625" style="6" customWidth="1"/>
    <col min="3832" max="3832" width="9.140625" style="6"/>
    <col min="3833" max="3841" width="9.28515625" style="6" customWidth="1"/>
    <col min="3842" max="4086" width="9.140625" style="6"/>
    <col min="4087" max="4087" width="38.140625" style="6" customWidth="1"/>
    <col min="4088" max="4088" width="9.140625" style="6"/>
    <col min="4089" max="4097" width="9.28515625" style="6" customWidth="1"/>
    <col min="4098" max="4342" width="9.140625" style="6"/>
    <col min="4343" max="4343" width="38.140625" style="6" customWidth="1"/>
    <col min="4344" max="4344" width="9.140625" style="6"/>
    <col min="4345" max="4353" width="9.28515625" style="6" customWidth="1"/>
    <col min="4354" max="4598" width="9.140625" style="6"/>
    <col min="4599" max="4599" width="38.140625" style="6" customWidth="1"/>
    <col min="4600" max="4600" width="9.140625" style="6"/>
    <col min="4601" max="4609" width="9.28515625" style="6" customWidth="1"/>
    <col min="4610" max="4854" width="9.140625" style="6"/>
    <col min="4855" max="4855" width="38.140625" style="6" customWidth="1"/>
    <col min="4856" max="4856" width="9.140625" style="6"/>
    <col min="4857" max="4865" width="9.28515625" style="6" customWidth="1"/>
    <col min="4866" max="5110" width="9.140625" style="6"/>
    <col min="5111" max="5111" width="38.140625" style="6" customWidth="1"/>
    <col min="5112" max="5112" width="9.140625" style="6"/>
    <col min="5113" max="5121" width="9.28515625" style="6" customWidth="1"/>
    <col min="5122" max="5366" width="9.140625" style="6"/>
    <col min="5367" max="5367" width="38.140625" style="6" customWidth="1"/>
    <col min="5368" max="5368" width="9.140625" style="6"/>
    <col min="5369" max="5377" width="9.28515625" style="6" customWidth="1"/>
    <col min="5378" max="5622" width="9.140625" style="6"/>
    <col min="5623" max="5623" width="38.140625" style="6" customWidth="1"/>
    <col min="5624" max="5624" width="9.140625" style="6"/>
    <col min="5625" max="5633" width="9.28515625" style="6" customWidth="1"/>
    <col min="5634" max="5878" width="9.140625" style="6"/>
    <col min="5879" max="5879" width="38.140625" style="6" customWidth="1"/>
    <col min="5880" max="5880" width="9.140625" style="6"/>
    <col min="5881" max="5889" width="9.28515625" style="6" customWidth="1"/>
    <col min="5890" max="6134" width="9.140625" style="6"/>
    <col min="6135" max="6135" width="38.140625" style="6" customWidth="1"/>
    <col min="6136" max="6136" width="9.140625" style="6"/>
    <col min="6137" max="6145" width="9.28515625" style="6" customWidth="1"/>
    <col min="6146" max="6390" width="9.140625" style="6"/>
    <col min="6391" max="6391" width="38.140625" style="6" customWidth="1"/>
    <col min="6392" max="6392" width="9.140625" style="6"/>
    <col min="6393" max="6401" width="9.28515625" style="6" customWidth="1"/>
    <col min="6402" max="6646" width="9.140625" style="6"/>
    <col min="6647" max="6647" width="38.140625" style="6" customWidth="1"/>
    <col min="6648" max="6648" width="9.140625" style="6"/>
    <col min="6649" max="6657" width="9.28515625" style="6" customWidth="1"/>
    <col min="6658" max="6902" width="9.140625" style="6"/>
    <col min="6903" max="6903" width="38.140625" style="6" customWidth="1"/>
    <col min="6904" max="6904" width="9.140625" style="6"/>
    <col min="6905" max="6913" width="9.28515625" style="6" customWidth="1"/>
    <col min="6914" max="7158" width="9.140625" style="6"/>
    <col min="7159" max="7159" width="38.140625" style="6" customWidth="1"/>
    <col min="7160" max="7160" width="9.140625" style="6"/>
    <col min="7161" max="7169" width="9.28515625" style="6" customWidth="1"/>
    <col min="7170" max="7414" width="9.140625" style="6"/>
    <col min="7415" max="7415" width="38.140625" style="6" customWidth="1"/>
    <col min="7416" max="7416" width="9.140625" style="6"/>
    <col min="7417" max="7425" width="9.28515625" style="6" customWidth="1"/>
    <col min="7426" max="7670" width="9.140625" style="6"/>
    <col min="7671" max="7671" width="38.140625" style="6" customWidth="1"/>
    <col min="7672" max="7672" width="9.140625" style="6"/>
    <col min="7673" max="7681" width="9.28515625" style="6" customWidth="1"/>
    <col min="7682" max="7926" width="9.140625" style="6"/>
    <col min="7927" max="7927" width="38.140625" style="6" customWidth="1"/>
    <col min="7928" max="7928" width="9.140625" style="6"/>
    <col min="7929" max="7937" width="9.28515625" style="6" customWidth="1"/>
    <col min="7938" max="8182" width="9.140625" style="6"/>
    <col min="8183" max="8183" width="38.140625" style="6" customWidth="1"/>
    <col min="8184" max="8184" width="9.140625" style="6"/>
    <col min="8185" max="8193" width="9.28515625" style="6" customWidth="1"/>
    <col min="8194" max="8438" width="9.140625" style="6"/>
    <col min="8439" max="8439" width="38.140625" style="6" customWidth="1"/>
    <col min="8440" max="8440" width="9.140625" style="6"/>
    <col min="8441" max="8449" width="9.28515625" style="6" customWidth="1"/>
    <col min="8450" max="8694" width="9.140625" style="6"/>
    <col min="8695" max="8695" width="38.140625" style="6" customWidth="1"/>
    <col min="8696" max="8696" width="9.140625" style="6"/>
    <col min="8697" max="8705" width="9.28515625" style="6" customWidth="1"/>
    <col min="8706" max="8950" width="9.140625" style="6"/>
    <col min="8951" max="8951" width="38.140625" style="6" customWidth="1"/>
    <col min="8952" max="8952" width="9.140625" style="6"/>
    <col min="8953" max="8961" width="9.28515625" style="6" customWidth="1"/>
    <col min="8962" max="9206" width="9.140625" style="6"/>
    <col min="9207" max="9207" width="38.140625" style="6" customWidth="1"/>
    <col min="9208" max="9208" width="9.140625" style="6"/>
    <col min="9209" max="9217" width="9.28515625" style="6" customWidth="1"/>
    <col min="9218" max="9462" width="9.140625" style="6"/>
    <col min="9463" max="9463" width="38.140625" style="6" customWidth="1"/>
    <col min="9464" max="9464" width="9.140625" style="6"/>
    <col min="9465" max="9473" width="9.28515625" style="6" customWidth="1"/>
    <col min="9474" max="9718" width="9.140625" style="6"/>
    <col min="9719" max="9719" width="38.140625" style="6" customWidth="1"/>
    <col min="9720" max="9720" width="9.140625" style="6"/>
    <col min="9721" max="9729" width="9.28515625" style="6" customWidth="1"/>
    <col min="9730" max="9974" width="9.140625" style="6"/>
    <col min="9975" max="9975" width="38.140625" style="6" customWidth="1"/>
    <col min="9976" max="9976" width="9.140625" style="6"/>
    <col min="9977" max="9985" width="9.28515625" style="6" customWidth="1"/>
    <col min="9986" max="10230" width="9.140625" style="6"/>
    <col min="10231" max="10231" width="38.140625" style="6" customWidth="1"/>
    <col min="10232" max="10232" width="9.140625" style="6"/>
    <col min="10233" max="10241" width="9.28515625" style="6" customWidth="1"/>
    <col min="10242" max="10486" width="9.140625" style="6"/>
    <col min="10487" max="10487" width="38.140625" style="6" customWidth="1"/>
    <col min="10488" max="10488" width="9.140625" style="6"/>
    <col min="10489" max="10497" width="9.28515625" style="6" customWidth="1"/>
    <col min="10498" max="10742" width="9.140625" style="6"/>
    <col min="10743" max="10743" width="38.140625" style="6" customWidth="1"/>
    <col min="10744" max="10744" width="9.140625" style="6"/>
    <col min="10745" max="10753" width="9.28515625" style="6" customWidth="1"/>
    <col min="10754" max="10998" width="9.140625" style="6"/>
    <col min="10999" max="10999" width="38.140625" style="6" customWidth="1"/>
    <col min="11000" max="11000" width="9.140625" style="6"/>
    <col min="11001" max="11009" width="9.28515625" style="6" customWidth="1"/>
    <col min="11010" max="11254" width="9.140625" style="6"/>
    <col min="11255" max="11255" width="38.140625" style="6" customWidth="1"/>
    <col min="11256" max="11256" width="9.140625" style="6"/>
    <col min="11257" max="11265" width="9.28515625" style="6" customWidth="1"/>
    <col min="11266" max="11510" width="9.140625" style="6"/>
    <col min="11511" max="11511" width="38.140625" style="6" customWidth="1"/>
    <col min="11512" max="11512" width="9.140625" style="6"/>
    <col min="11513" max="11521" width="9.28515625" style="6" customWidth="1"/>
    <col min="11522" max="11766" width="9.140625" style="6"/>
    <col min="11767" max="11767" width="38.140625" style="6" customWidth="1"/>
    <col min="11768" max="11768" width="9.140625" style="6"/>
    <col min="11769" max="11777" width="9.28515625" style="6" customWidth="1"/>
    <col min="11778" max="12022" width="9.140625" style="6"/>
    <col min="12023" max="12023" width="38.140625" style="6" customWidth="1"/>
    <col min="12024" max="12024" width="9.140625" style="6"/>
    <col min="12025" max="12033" width="9.28515625" style="6" customWidth="1"/>
    <col min="12034" max="12278" width="9.140625" style="6"/>
    <col min="12279" max="12279" width="38.140625" style="6" customWidth="1"/>
    <col min="12280" max="12280" width="9.140625" style="6"/>
    <col min="12281" max="12289" width="9.28515625" style="6" customWidth="1"/>
    <col min="12290" max="12534" width="9.140625" style="6"/>
    <col min="12535" max="12535" width="38.140625" style="6" customWidth="1"/>
    <col min="12536" max="12536" width="9.140625" style="6"/>
    <col min="12537" max="12545" width="9.28515625" style="6" customWidth="1"/>
    <col min="12546" max="12790" width="9.140625" style="6"/>
    <col min="12791" max="12791" width="38.140625" style="6" customWidth="1"/>
    <col min="12792" max="12792" width="9.140625" style="6"/>
    <col min="12793" max="12801" width="9.28515625" style="6" customWidth="1"/>
    <col min="12802" max="13046" width="9.140625" style="6"/>
    <col min="13047" max="13047" width="38.140625" style="6" customWidth="1"/>
    <col min="13048" max="13048" width="9.140625" style="6"/>
    <col min="13049" max="13057" width="9.28515625" style="6" customWidth="1"/>
    <col min="13058" max="13302" width="9.140625" style="6"/>
    <col min="13303" max="13303" width="38.140625" style="6" customWidth="1"/>
    <col min="13304" max="13304" width="9.140625" style="6"/>
    <col min="13305" max="13313" width="9.28515625" style="6" customWidth="1"/>
    <col min="13314" max="13558" width="9.140625" style="6"/>
    <col min="13559" max="13559" width="38.140625" style="6" customWidth="1"/>
    <col min="13560" max="13560" width="9.140625" style="6"/>
    <col min="13561" max="13569" width="9.28515625" style="6" customWidth="1"/>
    <col min="13570" max="13814" width="9.140625" style="6"/>
    <col min="13815" max="13815" width="38.140625" style="6" customWidth="1"/>
    <col min="13816" max="13816" width="9.140625" style="6"/>
    <col min="13817" max="13825" width="9.28515625" style="6" customWidth="1"/>
    <col min="13826" max="14070" width="9.140625" style="6"/>
    <col min="14071" max="14071" width="38.140625" style="6" customWidth="1"/>
    <col min="14072" max="14072" width="9.140625" style="6"/>
    <col min="14073" max="14081" width="9.28515625" style="6" customWidth="1"/>
    <col min="14082" max="14326" width="9.140625" style="6"/>
    <col min="14327" max="14327" width="38.140625" style="6" customWidth="1"/>
    <col min="14328" max="14328" width="9.140625" style="6"/>
    <col min="14329" max="14337" width="9.28515625" style="6" customWidth="1"/>
    <col min="14338" max="14582" width="9.140625" style="6"/>
    <col min="14583" max="14583" width="38.140625" style="6" customWidth="1"/>
    <col min="14584" max="14584" width="9.140625" style="6"/>
    <col min="14585" max="14593" width="9.28515625" style="6" customWidth="1"/>
    <col min="14594" max="14838" width="9.140625" style="6"/>
    <col min="14839" max="14839" width="38.140625" style="6" customWidth="1"/>
    <col min="14840" max="14840" width="9.140625" style="6"/>
    <col min="14841" max="14849" width="9.28515625" style="6" customWidth="1"/>
    <col min="14850" max="15094" width="9.140625" style="6"/>
    <col min="15095" max="15095" width="38.140625" style="6" customWidth="1"/>
    <col min="15096" max="15096" width="9.140625" style="6"/>
    <col min="15097" max="15105" width="9.28515625" style="6" customWidth="1"/>
    <col min="15106" max="15350" width="9.140625" style="6"/>
    <col min="15351" max="15351" width="38.140625" style="6" customWidth="1"/>
    <col min="15352" max="15352" width="9.140625" style="6"/>
    <col min="15353" max="15361" width="9.28515625" style="6" customWidth="1"/>
    <col min="15362" max="15606" width="9.140625" style="6"/>
    <col min="15607" max="15607" width="38.140625" style="6" customWidth="1"/>
    <col min="15608" max="15608" width="9.140625" style="6"/>
    <col min="15609" max="15617" width="9.28515625" style="6" customWidth="1"/>
    <col min="15618" max="15862" width="9.140625" style="6"/>
    <col min="15863" max="15863" width="38.140625" style="6" customWidth="1"/>
    <col min="15864" max="15864" width="9.140625" style="6"/>
    <col min="15865" max="15873" width="9.28515625" style="6" customWidth="1"/>
    <col min="15874" max="16118" width="9.140625" style="6"/>
    <col min="16119" max="16119" width="38.140625" style="6" customWidth="1"/>
    <col min="16120" max="16120" width="9.140625" style="6"/>
    <col min="16121" max="16129" width="9.28515625" style="6" customWidth="1"/>
    <col min="16130" max="16384" width="9.140625" style="6"/>
  </cols>
  <sheetData>
    <row r="1" spans="1:11" x14ac:dyDescent="0.25">
      <c r="A1" s="9" t="s">
        <v>213</v>
      </c>
      <c r="B1" s="15"/>
      <c r="E1" s="995">
        <f>F2</f>
        <v>3745000</v>
      </c>
      <c r="F1" s="995"/>
      <c r="G1" s="6" t="s">
        <v>226</v>
      </c>
    </row>
    <row r="2" spans="1:11" x14ac:dyDescent="0.25">
      <c r="A2" s="9" t="s">
        <v>214</v>
      </c>
      <c r="F2" s="159">
        <f>3500000*107%</f>
        <v>3745000</v>
      </c>
    </row>
    <row r="3" spans="1:11" x14ac:dyDescent="0.25">
      <c r="A3" s="10" t="s">
        <v>215</v>
      </c>
      <c r="H3" s="16" t="s">
        <v>480</v>
      </c>
      <c r="I3" s="16"/>
      <c r="J3" s="16"/>
      <c r="K3" s="16"/>
    </row>
    <row r="4" spans="1:11" s="7" customFormat="1" ht="35.25" customHeight="1" x14ac:dyDescent="0.25">
      <c r="A4" s="993" t="s">
        <v>216</v>
      </c>
      <c r="B4" s="44" t="s">
        <v>217</v>
      </c>
      <c r="C4" s="996" t="s">
        <v>416</v>
      </c>
      <c r="D4" s="996"/>
      <c r="E4" s="996"/>
      <c r="F4" s="996"/>
      <c r="G4" s="996"/>
      <c r="H4" s="996"/>
      <c r="I4" s="996"/>
      <c r="J4" s="996"/>
      <c r="K4" s="996"/>
    </row>
    <row r="5" spans="1:11" s="7" customFormat="1" ht="21.75" customHeight="1" x14ac:dyDescent="0.25">
      <c r="A5" s="994"/>
      <c r="B5" s="44"/>
      <c r="C5" s="17">
        <v>1</v>
      </c>
      <c r="D5" s="17">
        <v>2</v>
      </c>
      <c r="E5" s="17">
        <v>3</v>
      </c>
      <c r="F5" s="17">
        <v>4</v>
      </c>
      <c r="G5" s="17">
        <v>5</v>
      </c>
      <c r="H5" s="17">
        <v>6</v>
      </c>
      <c r="I5" s="17">
        <v>7</v>
      </c>
      <c r="J5" s="17">
        <v>8</v>
      </c>
      <c r="K5" s="17">
        <v>9</v>
      </c>
    </row>
    <row r="6" spans="1:11" x14ac:dyDescent="0.25">
      <c r="A6" s="11" t="s">
        <v>412</v>
      </c>
      <c r="B6" s="12"/>
      <c r="C6" s="18"/>
      <c r="D6" s="18"/>
      <c r="E6" s="18"/>
      <c r="F6" s="18"/>
      <c r="G6" s="18"/>
      <c r="H6" s="18"/>
      <c r="I6" s="18"/>
      <c r="J6" s="18"/>
      <c r="K6" s="18"/>
    </row>
    <row r="7" spans="1:11" x14ac:dyDescent="0.25">
      <c r="A7" s="13" t="s">
        <v>218</v>
      </c>
      <c r="B7" s="13"/>
      <c r="C7" s="19">
        <v>2</v>
      </c>
      <c r="D7" s="19">
        <v>2.5</v>
      </c>
      <c r="E7" s="19">
        <v>3</v>
      </c>
      <c r="F7" s="19">
        <v>3.5</v>
      </c>
      <c r="G7" s="19">
        <v>4</v>
      </c>
      <c r="H7" s="19">
        <v>4.5</v>
      </c>
      <c r="I7" s="19">
        <v>5</v>
      </c>
      <c r="J7" s="19">
        <v>5.5</v>
      </c>
      <c r="K7" s="19">
        <v>6</v>
      </c>
    </row>
    <row r="8" spans="1:11" x14ac:dyDescent="0.25">
      <c r="A8" s="13" t="s">
        <v>219</v>
      </c>
      <c r="B8" s="13" t="s">
        <v>208</v>
      </c>
      <c r="C8" s="20">
        <f t="shared" ref="C8:H8" si="0">C7*$E$1/1000</f>
        <v>7490</v>
      </c>
      <c r="D8" s="20">
        <f t="shared" si="0"/>
        <v>9362.5</v>
      </c>
      <c r="E8" s="20">
        <f t="shared" si="0"/>
        <v>11235</v>
      </c>
      <c r="F8" s="20">
        <f t="shared" si="0"/>
        <v>13107.5</v>
      </c>
      <c r="G8" s="20">
        <f t="shared" si="0"/>
        <v>14980</v>
      </c>
      <c r="H8" s="20">
        <f t="shared" si="0"/>
        <v>16852.5</v>
      </c>
      <c r="I8" s="20">
        <f>I7*$E$1/1000</f>
        <v>18725</v>
      </c>
      <c r="J8" s="20">
        <f>J7*$E$1/1000</f>
        <v>20597.5</v>
      </c>
      <c r="K8" s="20">
        <f>K7*$E$1/1000</f>
        <v>22470</v>
      </c>
    </row>
    <row r="9" spans="1:11" x14ac:dyDescent="0.25">
      <c r="A9" s="14" t="s">
        <v>220</v>
      </c>
      <c r="B9" s="14"/>
      <c r="C9" s="21">
        <f t="shared" ref="C9:H9" si="1">C8/26</f>
        <v>288.07692307692309</v>
      </c>
      <c r="D9" s="21">
        <f t="shared" si="1"/>
        <v>360.09615384615387</v>
      </c>
      <c r="E9" s="21">
        <f t="shared" si="1"/>
        <v>432.11538461538464</v>
      </c>
      <c r="F9" s="21">
        <f t="shared" si="1"/>
        <v>504.13461538461536</v>
      </c>
      <c r="G9" s="21">
        <f t="shared" si="1"/>
        <v>576.15384615384619</v>
      </c>
      <c r="H9" s="21">
        <f t="shared" si="1"/>
        <v>648.17307692307691</v>
      </c>
      <c r="I9" s="21">
        <f>I8/26</f>
        <v>720.19230769230774</v>
      </c>
      <c r="J9" s="21">
        <f>J8/26</f>
        <v>792.21153846153845</v>
      </c>
      <c r="K9" s="21">
        <f>K8/26</f>
        <v>864.23076923076928</v>
      </c>
    </row>
    <row r="10" spans="1:11" x14ac:dyDescent="0.25">
      <c r="A10" s="11" t="s">
        <v>221</v>
      </c>
      <c r="B10" s="12"/>
      <c r="C10" s="18"/>
      <c r="D10" s="18"/>
      <c r="E10" s="18"/>
      <c r="F10" s="18"/>
      <c r="G10" s="18"/>
      <c r="H10" s="18"/>
      <c r="I10" s="18"/>
      <c r="J10" s="18"/>
      <c r="K10" s="18"/>
    </row>
    <row r="11" spans="1:11" x14ac:dyDescent="0.25">
      <c r="A11" s="13" t="s">
        <v>218</v>
      </c>
      <c r="B11" s="13"/>
      <c r="C11" s="19">
        <v>2</v>
      </c>
      <c r="D11" s="19">
        <v>2.4</v>
      </c>
      <c r="E11" s="19">
        <v>2.8</v>
      </c>
      <c r="F11" s="19">
        <v>3.2</v>
      </c>
      <c r="G11" s="19">
        <v>3.6</v>
      </c>
      <c r="H11" s="19">
        <v>4</v>
      </c>
      <c r="I11" s="19">
        <v>4.4000000000000004</v>
      </c>
      <c r="J11" s="19">
        <v>4.8</v>
      </c>
      <c r="K11" s="19">
        <v>5.2</v>
      </c>
    </row>
    <row r="12" spans="1:11" x14ac:dyDescent="0.25">
      <c r="A12" s="13" t="s">
        <v>219</v>
      </c>
      <c r="B12" s="13" t="s">
        <v>209</v>
      </c>
      <c r="C12" s="20">
        <f t="shared" ref="C12:H12" si="2">C11*$E$1/1000</f>
        <v>7490</v>
      </c>
      <c r="D12" s="20">
        <f t="shared" si="2"/>
        <v>8988</v>
      </c>
      <c r="E12" s="20">
        <f t="shared" si="2"/>
        <v>10486</v>
      </c>
      <c r="F12" s="20">
        <f t="shared" si="2"/>
        <v>11984</v>
      </c>
      <c r="G12" s="20">
        <f t="shared" si="2"/>
        <v>13482</v>
      </c>
      <c r="H12" s="20">
        <f t="shared" si="2"/>
        <v>14980</v>
      </c>
      <c r="I12" s="20">
        <f>I11*$E$1/1000</f>
        <v>16478.000000000004</v>
      </c>
      <c r="J12" s="20">
        <f>J11*$E$1/1000</f>
        <v>17976</v>
      </c>
      <c r="K12" s="20">
        <f>K11*$E$1/1000</f>
        <v>19474</v>
      </c>
    </row>
    <row r="13" spans="1:11" x14ac:dyDescent="0.25">
      <c r="A13" s="14" t="s">
        <v>220</v>
      </c>
      <c r="B13" s="14"/>
      <c r="C13" s="21">
        <f t="shared" ref="C13:H13" si="3">C12/26</f>
        <v>288.07692307692309</v>
      </c>
      <c r="D13" s="21">
        <f t="shared" si="3"/>
        <v>345.69230769230768</v>
      </c>
      <c r="E13" s="21">
        <f t="shared" si="3"/>
        <v>403.30769230769232</v>
      </c>
      <c r="F13" s="21">
        <f t="shared" si="3"/>
        <v>460.92307692307691</v>
      </c>
      <c r="G13" s="21">
        <f t="shared" si="3"/>
        <v>518.53846153846155</v>
      </c>
      <c r="H13" s="21">
        <f t="shared" si="3"/>
        <v>576.15384615384619</v>
      </c>
      <c r="I13" s="21">
        <f>I12/26</f>
        <v>633.76923076923094</v>
      </c>
      <c r="J13" s="21">
        <f>J12/26</f>
        <v>691.38461538461536</v>
      </c>
      <c r="K13" s="21">
        <f>K12/26</f>
        <v>749</v>
      </c>
    </row>
    <row r="14" spans="1:11" x14ac:dyDescent="0.25">
      <c r="A14" s="10" t="s">
        <v>222</v>
      </c>
      <c r="B14" s="9"/>
    </row>
    <row r="15" spans="1:11" s="7" customFormat="1" ht="14.25" customHeight="1" x14ac:dyDescent="0.25">
      <c r="A15" s="993" t="s">
        <v>216</v>
      </c>
      <c r="B15" s="42" t="s">
        <v>217</v>
      </c>
      <c r="C15" s="996" t="s">
        <v>227</v>
      </c>
      <c r="D15" s="996"/>
      <c r="E15" s="996"/>
      <c r="F15" s="996"/>
      <c r="G15" s="996"/>
      <c r="H15" s="996"/>
      <c r="I15" s="996"/>
      <c r="J15" s="996"/>
      <c r="K15" s="996"/>
    </row>
    <row r="16" spans="1:11" s="7" customFormat="1" ht="14.25" x14ac:dyDescent="0.25">
      <c r="A16" s="994"/>
      <c r="B16" s="43"/>
      <c r="C16" s="17">
        <v>1</v>
      </c>
      <c r="D16" s="17">
        <v>2</v>
      </c>
      <c r="E16" s="17">
        <v>3</v>
      </c>
      <c r="F16" s="17">
        <v>4</v>
      </c>
      <c r="G16" s="17">
        <v>5</v>
      </c>
      <c r="H16" s="17">
        <v>6</v>
      </c>
      <c r="I16" s="17">
        <v>7</v>
      </c>
      <c r="J16" s="17">
        <v>8</v>
      </c>
      <c r="K16" s="17">
        <v>9</v>
      </c>
    </row>
    <row r="17" spans="1:11" x14ac:dyDescent="0.25">
      <c r="A17" s="11" t="s">
        <v>223</v>
      </c>
      <c r="B17" s="12"/>
      <c r="C17" s="18"/>
      <c r="D17" s="18"/>
      <c r="E17" s="18"/>
      <c r="F17" s="18"/>
      <c r="G17" s="18"/>
      <c r="H17" s="18"/>
      <c r="I17" s="18"/>
      <c r="J17" s="18"/>
      <c r="K17" s="18"/>
    </row>
    <row r="18" spans="1:11" x14ac:dyDescent="0.25">
      <c r="A18" s="13" t="s">
        <v>218</v>
      </c>
      <c r="B18" s="13"/>
      <c r="C18" s="19">
        <v>1.7</v>
      </c>
      <c r="D18" s="19">
        <v>2</v>
      </c>
      <c r="E18" s="19">
        <v>2.2999999999999998</v>
      </c>
      <c r="F18" s="19">
        <v>2.6</v>
      </c>
      <c r="G18" s="19">
        <v>2.9</v>
      </c>
      <c r="H18" s="19">
        <v>3.2</v>
      </c>
      <c r="I18" s="19">
        <v>3.5</v>
      </c>
      <c r="J18" s="19">
        <v>3.8</v>
      </c>
      <c r="K18" s="19">
        <v>4.0999999999999996</v>
      </c>
    </row>
    <row r="19" spans="1:11" x14ac:dyDescent="0.25">
      <c r="A19" s="13" t="s">
        <v>219</v>
      </c>
      <c r="B19" s="13" t="s">
        <v>210</v>
      </c>
      <c r="C19" s="20">
        <f t="shared" ref="C19:H19" si="4">C18*$E$1/1000</f>
        <v>6366.5</v>
      </c>
      <c r="D19" s="20">
        <f t="shared" si="4"/>
        <v>7490</v>
      </c>
      <c r="E19" s="20">
        <f t="shared" si="4"/>
        <v>8613.5</v>
      </c>
      <c r="F19" s="20">
        <f t="shared" si="4"/>
        <v>9737</v>
      </c>
      <c r="G19" s="20">
        <f t="shared" si="4"/>
        <v>10860.5</v>
      </c>
      <c r="H19" s="20">
        <f t="shared" si="4"/>
        <v>11984</v>
      </c>
      <c r="I19" s="20">
        <f>I18*$E$1/1000</f>
        <v>13107.5</v>
      </c>
      <c r="J19" s="20">
        <f>J18*$E$1/1000</f>
        <v>14231</v>
      </c>
      <c r="K19" s="20">
        <f>K18*$E$1/1000</f>
        <v>15354.499999999998</v>
      </c>
    </row>
    <row r="20" spans="1:11" x14ac:dyDescent="0.25">
      <c r="A20" s="14" t="s">
        <v>220</v>
      </c>
      <c r="B20" s="14"/>
      <c r="C20" s="21">
        <f t="shared" ref="C20:H20" si="5">C19/26</f>
        <v>244.86538461538461</v>
      </c>
      <c r="D20" s="21">
        <f t="shared" si="5"/>
        <v>288.07692307692309</v>
      </c>
      <c r="E20" s="21">
        <f t="shared" si="5"/>
        <v>331.28846153846155</v>
      </c>
      <c r="F20" s="21">
        <f t="shared" si="5"/>
        <v>374.5</v>
      </c>
      <c r="G20" s="21">
        <f t="shared" si="5"/>
        <v>417.71153846153845</v>
      </c>
      <c r="H20" s="21">
        <f t="shared" si="5"/>
        <v>460.92307692307691</v>
      </c>
      <c r="I20" s="21">
        <f>I19/26</f>
        <v>504.13461538461536</v>
      </c>
      <c r="J20" s="21">
        <f>J19/26</f>
        <v>547.34615384615381</v>
      </c>
      <c r="K20" s="21">
        <f>K19/26</f>
        <v>590.55769230769226</v>
      </c>
    </row>
    <row r="21" spans="1:11" x14ac:dyDescent="0.25">
      <c r="A21" s="11" t="s">
        <v>505</v>
      </c>
      <c r="B21" s="12"/>
      <c r="C21" s="18"/>
      <c r="D21" s="18"/>
      <c r="E21" s="18"/>
      <c r="F21" s="18"/>
      <c r="G21" s="18"/>
      <c r="H21" s="18"/>
      <c r="I21" s="18"/>
      <c r="J21" s="18"/>
      <c r="K21" s="18"/>
    </row>
    <row r="22" spans="1:11" x14ac:dyDescent="0.25">
      <c r="A22" s="13" t="s">
        <v>218</v>
      </c>
      <c r="B22" s="13"/>
      <c r="C22" s="19">
        <v>1.5</v>
      </c>
      <c r="D22" s="19">
        <v>1.7</v>
      </c>
      <c r="E22" s="19">
        <v>1.9</v>
      </c>
      <c r="F22" s="19">
        <v>2.1</v>
      </c>
      <c r="G22" s="19">
        <v>2.2999999999999998</v>
      </c>
      <c r="H22" s="19">
        <v>2.5</v>
      </c>
      <c r="I22" s="19">
        <v>2.7</v>
      </c>
      <c r="J22" s="19">
        <v>2.9</v>
      </c>
      <c r="K22" s="19">
        <v>3.1</v>
      </c>
    </row>
    <row r="23" spans="1:11" x14ac:dyDescent="0.25">
      <c r="A23" s="13" t="s">
        <v>219</v>
      </c>
      <c r="B23" s="13" t="s">
        <v>211</v>
      </c>
      <c r="C23" s="20">
        <f t="shared" ref="C23:K23" si="6">C22*$E$1/1000</f>
        <v>5617.5</v>
      </c>
      <c r="D23" s="20">
        <f t="shared" si="6"/>
        <v>6366.5</v>
      </c>
      <c r="E23" s="20">
        <f t="shared" si="6"/>
        <v>7115.5</v>
      </c>
      <c r="F23" s="20">
        <f t="shared" si="6"/>
        <v>7864.5</v>
      </c>
      <c r="G23" s="20">
        <f t="shared" si="6"/>
        <v>8613.5</v>
      </c>
      <c r="H23" s="20">
        <f t="shared" si="6"/>
        <v>9362.5</v>
      </c>
      <c r="I23" s="20">
        <f t="shared" si="6"/>
        <v>10111.5</v>
      </c>
      <c r="J23" s="20">
        <f t="shared" si="6"/>
        <v>10860.5</v>
      </c>
      <c r="K23" s="20">
        <f t="shared" si="6"/>
        <v>11609.5</v>
      </c>
    </row>
    <row r="24" spans="1:11" x14ac:dyDescent="0.25">
      <c r="A24" s="14" t="s">
        <v>220</v>
      </c>
      <c r="B24" s="14"/>
      <c r="C24" s="21">
        <f t="shared" ref="C24:K24" si="7">C23/26</f>
        <v>216.05769230769232</v>
      </c>
      <c r="D24" s="21">
        <f t="shared" si="7"/>
        <v>244.86538461538461</v>
      </c>
      <c r="E24" s="21">
        <f t="shared" si="7"/>
        <v>273.67307692307691</v>
      </c>
      <c r="F24" s="21">
        <f t="shared" si="7"/>
        <v>302.48076923076923</v>
      </c>
      <c r="G24" s="21">
        <f t="shared" si="7"/>
        <v>331.28846153846155</v>
      </c>
      <c r="H24" s="21">
        <f t="shared" si="7"/>
        <v>360.09615384615387</v>
      </c>
      <c r="I24" s="21">
        <f t="shared" si="7"/>
        <v>388.90384615384613</v>
      </c>
      <c r="J24" s="21">
        <f t="shared" si="7"/>
        <v>417.71153846153845</v>
      </c>
      <c r="K24" s="21">
        <f t="shared" si="7"/>
        <v>446.51923076923077</v>
      </c>
    </row>
    <row r="25" spans="1:11" x14ac:dyDescent="0.25">
      <c r="A25" s="11" t="s">
        <v>228</v>
      </c>
      <c r="B25" s="12"/>
      <c r="C25" s="18"/>
      <c r="D25" s="18"/>
      <c r="E25" s="18"/>
      <c r="F25" s="18"/>
      <c r="G25" s="18"/>
      <c r="H25" s="18"/>
      <c r="I25" s="18"/>
      <c r="J25" s="18"/>
      <c r="K25" s="18"/>
    </row>
    <row r="26" spans="1:11" x14ac:dyDescent="0.25">
      <c r="A26" s="13" t="s">
        <v>218</v>
      </c>
      <c r="B26" s="13"/>
      <c r="C26" s="19">
        <v>1</v>
      </c>
      <c r="D26" s="19">
        <v>1.2</v>
      </c>
      <c r="E26" s="19">
        <v>1.4</v>
      </c>
      <c r="F26" s="19">
        <v>1.6</v>
      </c>
      <c r="G26" s="19">
        <v>1.8</v>
      </c>
      <c r="H26" s="19">
        <v>2</v>
      </c>
      <c r="I26" s="19">
        <v>2.2000000000000002</v>
      </c>
      <c r="J26" s="19">
        <v>2.4</v>
      </c>
      <c r="K26" s="19">
        <v>2.6</v>
      </c>
    </row>
    <row r="27" spans="1:11" x14ac:dyDescent="0.25">
      <c r="A27" s="13" t="s">
        <v>219</v>
      </c>
      <c r="B27" s="13" t="s">
        <v>212</v>
      </c>
      <c r="C27" s="20">
        <f t="shared" ref="C27:H27" si="8">C26*$E$1/1000</f>
        <v>3745</v>
      </c>
      <c r="D27" s="20">
        <f t="shared" si="8"/>
        <v>4494</v>
      </c>
      <c r="E27" s="20">
        <f t="shared" si="8"/>
        <v>5243</v>
      </c>
      <c r="F27" s="20">
        <f t="shared" si="8"/>
        <v>5992</v>
      </c>
      <c r="G27" s="20">
        <f t="shared" si="8"/>
        <v>6741</v>
      </c>
      <c r="H27" s="20">
        <f t="shared" si="8"/>
        <v>7490</v>
      </c>
      <c r="I27" s="20">
        <f>I26*$E$1/1000</f>
        <v>8239.0000000000018</v>
      </c>
      <c r="J27" s="20">
        <f>J26*$E$1/1000</f>
        <v>8988</v>
      </c>
      <c r="K27" s="20">
        <f>K26*$E$1/1000</f>
        <v>9737</v>
      </c>
    </row>
    <row r="28" spans="1:11" x14ac:dyDescent="0.25">
      <c r="A28" s="14" t="s">
        <v>220</v>
      </c>
      <c r="B28" s="14"/>
      <c r="C28" s="21">
        <f t="shared" ref="C28:H28" si="9">C27/26</f>
        <v>144.03846153846155</v>
      </c>
      <c r="D28" s="21">
        <f t="shared" si="9"/>
        <v>172.84615384615384</v>
      </c>
      <c r="E28" s="21">
        <f t="shared" si="9"/>
        <v>201.65384615384616</v>
      </c>
      <c r="F28" s="21">
        <f t="shared" si="9"/>
        <v>230.46153846153845</v>
      </c>
      <c r="G28" s="21">
        <f t="shared" si="9"/>
        <v>259.26923076923077</v>
      </c>
      <c r="H28" s="21">
        <f t="shared" si="9"/>
        <v>288.07692307692309</v>
      </c>
      <c r="I28" s="21">
        <f>I27/26</f>
        <v>316.88461538461547</v>
      </c>
      <c r="J28" s="21">
        <f>J27/26</f>
        <v>345.69230769230768</v>
      </c>
      <c r="K28" s="21">
        <f>K27/26</f>
        <v>374.5</v>
      </c>
    </row>
    <row r="29" spans="1:11" x14ac:dyDescent="0.25">
      <c r="A29" s="11" t="s">
        <v>504</v>
      </c>
      <c r="B29" s="12"/>
      <c r="C29" s="18"/>
      <c r="D29" s="18"/>
      <c r="E29" s="18"/>
      <c r="F29" s="18"/>
      <c r="G29" s="18"/>
      <c r="H29" s="18"/>
      <c r="I29" s="18"/>
      <c r="J29" s="18"/>
      <c r="K29" s="18"/>
    </row>
    <row r="30" spans="1:11" x14ac:dyDescent="0.25">
      <c r="A30" s="13" t="s">
        <v>218</v>
      </c>
      <c r="B30" s="13"/>
      <c r="C30" s="19">
        <v>1</v>
      </c>
      <c r="D30" s="19">
        <v>1.1000000000000001</v>
      </c>
      <c r="E30" s="19">
        <v>1.2</v>
      </c>
      <c r="F30" s="19">
        <v>1.3</v>
      </c>
      <c r="G30" s="19">
        <v>1.4</v>
      </c>
      <c r="H30" s="19">
        <v>1.5</v>
      </c>
      <c r="I30" s="19">
        <v>1.6</v>
      </c>
      <c r="J30" s="19">
        <v>1.7</v>
      </c>
      <c r="K30" s="19">
        <v>1.8</v>
      </c>
    </row>
    <row r="31" spans="1:11" x14ac:dyDescent="0.25">
      <c r="A31" s="13" t="s">
        <v>219</v>
      </c>
      <c r="B31" s="13" t="s">
        <v>233</v>
      </c>
      <c r="C31" s="20">
        <f t="shared" ref="C31:H31" si="10">C30*$E$1/1000</f>
        <v>3745</v>
      </c>
      <c r="D31" s="20">
        <f t="shared" si="10"/>
        <v>4119.5000000000009</v>
      </c>
      <c r="E31" s="20">
        <f t="shared" si="10"/>
        <v>4494</v>
      </c>
      <c r="F31" s="20">
        <f t="shared" si="10"/>
        <v>4868.5</v>
      </c>
      <c r="G31" s="20">
        <f t="shared" si="10"/>
        <v>5243</v>
      </c>
      <c r="H31" s="20">
        <f t="shared" si="10"/>
        <v>5617.5</v>
      </c>
      <c r="I31" s="20">
        <f>I30*$E$1/1000</f>
        <v>5992</v>
      </c>
      <c r="J31" s="20">
        <f>J30*$E$1/1000</f>
        <v>6366.5</v>
      </c>
      <c r="K31" s="20">
        <f>K30*$E$1/1000</f>
        <v>6741</v>
      </c>
    </row>
    <row r="32" spans="1:11" x14ac:dyDescent="0.25">
      <c r="A32" s="14" t="s">
        <v>220</v>
      </c>
      <c r="B32" s="14"/>
      <c r="C32" s="21">
        <f t="shared" ref="C32:H32" si="11">C31/26</f>
        <v>144.03846153846155</v>
      </c>
      <c r="D32" s="21">
        <f t="shared" si="11"/>
        <v>158.44230769230774</v>
      </c>
      <c r="E32" s="21">
        <f t="shared" si="11"/>
        <v>172.84615384615384</v>
      </c>
      <c r="F32" s="21">
        <f t="shared" si="11"/>
        <v>187.25</v>
      </c>
      <c r="G32" s="21">
        <f t="shared" si="11"/>
        <v>201.65384615384616</v>
      </c>
      <c r="H32" s="21">
        <f t="shared" si="11"/>
        <v>216.05769230769232</v>
      </c>
      <c r="I32" s="21">
        <f>I31/26</f>
        <v>230.46153846153845</v>
      </c>
      <c r="J32" s="21">
        <f>J31/26</f>
        <v>244.86538461538461</v>
      </c>
      <c r="K32" s="21">
        <f>K31/26</f>
        <v>259.26923076923077</v>
      </c>
    </row>
    <row r="33" spans="1:11" x14ac:dyDescent="0.25">
      <c r="A33" s="11" t="s">
        <v>231</v>
      </c>
      <c r="B33" s="12"/>
      <c r="C33" s="18"/>
      <c r="D33" s="18"/>
      <c r="E33" s="18"/>
      <c r="F33" s="18"/>
      <c r="G33" s="18"/>
      <c r="H33" s="18"/>
      <c r="I33" s="18"/>
      <c r="J33" s="18"/>
      <c r="K33" s="18"/>
    </row>
    <row r="34" spans="1:11" x14ac:dyDescent="0.25">
      <c r="A34" s="13" t="s">
        <v>218</v>
      </c>
      <c r="B34" s="13"/>
      <c r="C34" s="19">
        <v>1</v>
      </c>
      <c r="D34" s="19">
        <v>1.1000000000000001</v>
      </c>
      <c r="E34" s="19">
        <v>1.2</v>
      </c>
      <c r="F34" s="19">
        <v>1.3</v>
      </c>
      <c r="G34" s="19">
        <v>1.4</v>
      </c>
      <c r="H34" s="19">
        <v>1.5</v>
      </c>
      <c r="I34" s="19">
        <v>1.6</v>
      </c>
      <c r="J34" s="19">
        <v>1.7</v>
      </c>
      <c r="K34" s="19">
        <v>1.8</v>
      </c>
    </row>
    <row r="35" spans="1:11" x14ac:dyDescent="0.25">
      <c r="A35" s="13" t="s">
        <v>219</v>
      </c>
      <c r="B35" s="13" t="s">
        <v>234</v>
      </c>
      <c r="C35" s="20">
        <f t="shared" ref="C35:H35" si="12">C34*$E$1/1000</f>
        <v>3745</v>
      </c>
      <c r="D35" s="20">
        <f t="shared" si="12"/>
        <v>4119.5000000000009</v>
      </c>
      <c r="E35" s="20">
        <f t="shared" si="12"/>
        <v>4494</v>
      </c>
      <c r="F35" s="20">
        <f t="shared" si="12"/>
        <v>4868.5</v>
      </c>
      <c r="G35" s="20">
        <f t="shared" si="12"/>
        <v>5243</v>
      </c>
      <c r="H35" s="20">
        <f t="shared" si="12"/>
        <v>5617.5</v>
      </c>
      <c r="I35" s="20">
        <f>I34*$E$1/1000</f>
        <v>5992</v>
      </c>
      <c r="J35" s="20">
        <f>J34*$E$1/1000</f>
        <v>6366.5</v>
      </c>
      <c r="K35" s="20">
        <f>K34*$E$1/1000</f>
        <v>6741</v>
      </c>
    </row>
    <row r="36" spans="1:11" x14ac:dyDescent="0.25">
      <c r="A36" s="14" t="s">
        <v>220</v>
      </c>
      <c r="B36" s="14"/>
      <c r="C36" s="21">
        <f t="shared" ref="C36:H36" si="13">C35/26</f>
        <v>144.03846153846155</v>
      </c>
      <c r="D36" s="21">
        <f t="shared" si="13"/>
        <v>158.44230769230774</v>
      </c>
      <c r="E36" s="21">
        <f t="shared" si="13"/>
        <v>172.84615384615384</v>
      </c>
      <c r="F36" s="21">
        <f t="shared" si="13"/>
        <v>187.25</v>
      </c>
      <c r="G36" s="21">
        <f t="shared" si="13"/>
        <v>201.65384615384616</v>
      </c>
      <c r="H36" s="21">
        <f t="shared" si="13"/>
        <v>216.05769230769232</v>
      </c>
      <c r="I36" s="21">
        <f>I35/26</f>
        <v>230.46153846153845</v>
      </c>
      <c r="J36" s="21">
        <f>J35/26</f>
        <v>244.86538461538461</v>
      </c>
      <c r="K36" s="21">
        <f>K35/26</f>
        <v>259.26923076923077</v>
      </c>
    </row>
    <row r="37" spans="1:11" s="8" customFormat="1" ht="14.25" x14ac:dyDescent="0.25">
      <c r="A37" s="11" t="s">
        <v>224</v>
      </c>
      <c r="B37" s="12"/>
      <c r="C37" s="18"/>
      <c r="D37" s="18"/>
      <c r="E37" s="18"/>
      <c r="F37" s="18"/>
      <c r="G37" s="18"/>
      <c r="H37" s="18"/>
      <c r="I37" s="18"/>
      <c r="J37" s="18"/>
      <c r="K37" s="18"/>
    </row>
    <row r="38" spans="1:11" s="7" customFormat="1" ht="14.25" x14ac:dyDescent="0.25">
      <c r="A38" s="13" t="s">
        <v>218</v>
      </c>
      <c r="B38" s="13"/>
      <c r="C38" s="19">
        <v>1</v>
      </c>
      <c r="D38" s="19">
        <v>1.05</v>
      </c>
      <c r="E38" s="19">
        <v>1.1000000000000001</v>
      </c>
      <c r="F38" s="19">
        <v>1.1499999999999999</v>
      </c>
      <c r="G38" s="19">
        <v>1.2</v>
      </c>
      <c r="H38" s="19">
        <v>1.25</v>
      </c>
      <c r="I38" s="19">
        <v>1.3</v>
      </c>
      <c r="J38" s="19">
        <v>1.35</v>
      </c>
      <c r="K38" s="19">
        <v>1.4</v>
      </c>
    </row>
    <row r="39" spans="1:11" s="7" customFormat="1" ht="14.25" x14ac:dyDescent="0.25">
      <c r="A39" s="13" t="s">
        <v>219</v>
      </c>
      <c r="B39" s="13" t="s">
        <v>235</v>
      </c>
      <c r="C39" s="20">
        <f t="shared" ref="C39:K39" si="14">C38*$E$1/1000</f>
        <v>3745</v>
      </c>
      <c r="D39" s="20">
        <f t="shared" si="14"/>
        <v>3932.25</v>
      </c>
      <c r="E39" s="20">
        <f t="shared" si="14"/>
        <v>4119.5000000000009</v>
      </c>
      <c r="F39" s="20">
        <f t="shared" si="14"/>
        <v>4306.75</v>
      </c>
      <c r="G39" s="20">
        <f t="shared" si="14"/>
        <v>4494</v>
      </c>
      <c r="H39" s="20">
        <f t="shared" si="14"/>
        <v>4681.25</v>
      </c>
      <c r="I39" s="20">
        <f t="shared" si="14"/>
        <v>4868.5</v>
      </c>
      <c r="J39" s="20">
        <f t="shared" si="14"/>
        <v>5055.75</v>
      </c>
      <c r="K39" s="20">
        <f t="shared" si="14"/>
        <v>5243</v>
      </c>
    </row>
    <row r="40" spans="1:11" x14ac:dyDescent="0.25">
      <c r="A40" s="14" t="s">
        <v>220</v>
      </c>
      <c r="B40" s="14"/>
      <c r="C40" s="21">
        <f t="shared" ref="C40:K40" si="15">C39/26</f>
        <v>144.03846153846155</v>
      </c>
      <c r="D40" s="21">
        <f t="shared" si="15"/>
        <v>151.24038461538461</v>
      </c>
      <c r="E40" s="21">
        <f t="shared" si="15"/>
        <v>158.44230769230774</v>
      </c>
      <c r="F40" s="21">
        <f t="shared" si="15"/>
        <v>165.64423076923077</v>
      </c>
      <c r="G40" s="21">
        <f t="shared" si="15"/>
        <v>172.84615384615384</v>
      </c>
      <c r="H40" s="21">
        <f t="shared" si="15"/>
        <v>180.04807692307693</v>
      </c>
      <c r="I40" s="21">
        <f t="shared" si="15"/>
        <v>187.25</v>
      </c>
      <c r="J40" s="21">
        <f t="shared" si="15"/>
        <v>194.45192307692307</v>
      </c>
      <c r="K40" s="21">
        <f t="shared" si="15"/>
        <v>201.65384615384616</v>
      </c>
    </row>
    <row r="41" spans="1:11" x14ac:dyDescent="0.25">
      <c r="A41" s="11" t="s">
        <v>225</v>
      </c>
      <c r="B41" s="12"/>
      <c r="C41" s="18"/>
      <c r="D41" s="18"/>
      <c r="E41" s="18"/>
      <c r="F41" s="18"/>
      <c r="G41" s="18"/>
      <c r="H41" s="18"/>
      <c r="I41" s="18"/>
      <c r="J41" s="18"/>
      <c r="K41" s="18"/>
    </row>
    <row r="42" spans="1:11" x14ac:dyDescent="0.25">
      <c r="A42" s="13" t="s">
        <v>218</v>
      </c>
      <c r="B42" s="13"/>
      <c r="C42" s="19">
        <v>1</v>
      </c>
      <c r="D42" s="19">
        <v>1.05</v>
      </c>
      <c r="E42" s="19">
        <v>1.1000000000000001</v>
      </c>
      <c r="F42" s="19">
        <v>1.1499999999999999</v>
      </c>
      <c r="G42" s="19">
        <v>1.2</v>
      </c>
      <c r="H42" s="19">
        <v>1.25</v>
      </c>
      <c r="I42" s="19">
        <v>1.3</v>
      </c>
      <c r="J42" s="19">
        <v>1.35</v>
      </c>
      <c r="K42" s="19">
        <v>1.4</v>
      </c>
    </row>
    <row r="43" spans="1:11" x14ac:dyDescent="0.25">
      <c r="A43" s="13" t="s">
        <v>219</v>
      </c>
      <c r="B43" s="13" t="s">
        <v>236</v>
      </c>
      <c r="C43" s="20">
        <f t="shared" ref="C43:K43" si="16">C42*$E$1/1000</f>
        <v>3745</v>
      </c>
      <c r="D43" s="20">
        <f t="shared" si="16"/>
        <v>3932.25</v>
      </c>
      <c r="E43" s="20">
        <f t="shared" si="16"/>
        <v>4119.5000000000009</v>
      </c>
      <c r="F43" s="20">
        <f t="shared" si="16"/>
        <v>4306.75</v>
      </c>
      <c r="G43" s="20">
        <f t="shared" si="16"/>
        <v>4494</v>
      </c>
      <c r="H43" s="20">
        <f t="shared" si="16"/>
        <v>4681.25</v>
      </c>
      <c r="I43" s="20">
        <f t="shared" si="16"/>
        <v>4868.5</v>
      </c>
      <c r="J43" s="20">
        <f t="shared" si="16"/>
        <v>5055.75</v>
      </c>
      <c r="K43" s="20">
        <f t="shared" si="16"/>
        <v>5243</v>
      </c>
    </row>
    <row r="44" spans="1:11" x14ac:dyDescent="0.25">
      <c r="A44" s="14" t="s">
        <v>220</v>
      </c>
      <c r="B44" s="14"/>
      <c r="C44" s="21">
        <v>35</v>
      </c>
      <c r="D44" s="21">
        <v>38.5</v>
      </c>
      <c r="E44" s="21">
        <v>42</v>
      </c>
      <c r="F44" s="21">
        <v>45.5</v>
      </c>
      <c r="G44" s="21">
        <v>49</v>
      </c>
      <c r="H44" s="21">
        <v>52.5</v>
      </c>
      <c r="I44" s="21">
        <v>56</v>
      </c>
      <c r="J44" s="21">
        <v>59.5</v>
      </c>
      <c r="K44" s="21">
        <v>63</v>
      </c>
    </row>
  </sheetData>
  <mergeCells count="5">
    <mergeCell ref="A4:A5"/>
    <mergeCell ref="A15:A16"/>
    <mergeCell ref="E1:F1"/>
    <mergeCell ref="C4:K4"/>
    <mergeCell ref="C15:K15"/>
  </mergeCells>
  <pageMargins left="0.7" right="0.7" top="0.75" bottom="0.75" header="0.3" footer="0.3"/>
  <pageSetup paperSize="9" scale="68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44"/>
  <sheetViews>
    <sheetView workbookViewId="0">
      <selection activeCell="I28" sqref="I28"/>
    </sheetView>
  </sheetViews>
  <sheetFormatPr defaultRowHeight="15" x14ac:dyDescent="0.25"/>
  <cols>
    <col min="4" max="4" width="4.85546875" customWidth="1"/>
    <col min="5" max="5" width="19.28515625" customWidth="1"/>
    <col min="7" max="7" width="23.5703125" customWidth="1"/>
    <col min="9" max="9" width="10.140625" bestFit="1" customWidth="1"/>
  </cols>
  <sheetData>
    <row r="2" spans="1:2" x14ac:dyDescent="0.25">
      <c r="A2" s="36">
        <v>1</v>
      </c>
      <c r="B2" s="36" t="s">
        <v>401</v>
      </c>
    </row>
    <row r="3" spans="1:2" x14ac:dyDescent="0.25">
      <c r="B3" s="122" t="s">
        <v>405</v>
      </c>
    </row>
    <row r="4" spans="1:2" x14ac:dyDescent="0.25">
      <c r="B4" s="122" t="s">
        <v>404</v>
      </c>
    </row>
    <row r="5" spans="1:2" x14ac:dyDescent="0.25">
      <c r="B5" s="122" t="s">
        <v>403</v>
      </c>
    </row>
    <row r="6" spans="1:2" x14ac:dyDescent="0.25">
      <c r="B6" s="122" t="s">
        <v>402</v>
      </c>
    </row>
    <row r="7" spans="1:2" x14ac:dyDescent="0.25">
      <c r="B7" s="122" t="s">
        <v>409</v>
      </c>
    </row>
    <row r="8" spans="1:2" x14ac:dyDescent="0.25">
      <c r="B8" s="122" t="s">
        <v>406</v>
      </c>
    </row>
    <row r="9" spans="1:2" x14ac:dyDescent="0.25">
      <c r="B9" s="122" t="s">
        <v>407</v>
      </c>
    </row>
    <row r="10" spans="1:2" x14ac:dyDescent="0.25">
      <c r="B10" s="122" t="s">
        <v>408</v>
      </c>
    </row>
    <row r="11" spans="1:2" x14ac:dyDescent="0.25">
      <c r="B11" s="122" t="s">
        <v>410</v>
      </c>
    </row>
    <row r="12" spans="1:2" x14ac:dyDescent="0.25">
      <c r="A12" s="36">
        <v>2</v>
      </c>
      <c r="B12" s="36" t="s">
        <v>229</v>
      </c>
    </row>
    <row r="13" spans="1:2" x14ac:dyDescent="0.25">
      <c r="B13" s="122" t="s">
        <v>531</v>
      </c>
    </row>
    <row r="14" spans="1:2" x14ac:dyDescent="0.25">
      <c r="A14" s="36">
        <v>3</v>
      </c>
      <c r="B14" s="36" t="s">
        <v>411</v>
      </c>
    </row>
    <row r="15" spans="1:2" x14ac:dyDescent="0.25">
      <c r="B15" s="122" t="s">
        <v>413</v>
      </c>
    </row>
    <row r="16" spans="1:2" x14ac:dyDescent="0.25">
      <c r="B16" s="122" t="s">
        <v>414</v>
      </c>
    </row>
    <row r="17" spans="1:9" x14ac:dyDescent="0.25">
      <c r="B17" s="122" t="s">
        <v>415</v>
      </c>
    </row>
    <row r="18" spans="1:9" x14ac:dyDescent="0.25">
      <c r="B18" s="122" t="s">
        <v>417</v>
      </c>
    </row>
    <row r="19" spans="1:9" x14ac:dyDescent="0.25">
      <c r="C19" s="122" t="s">
        <v>524</v>
      </c>
    </row>
    <row r="20" spans="1:9" x14ac:dyDescent="0.25">
      <c r="C20" s="122" t="s">
        <v>525</v>
      </c>
    </row>
    <row r="21" spans="1:9" x14ac:dyDescent="0.25">
      <c r="C21" s="122" t="s">
        <v>526</v>
      </c>
    </row>
    <row r="22" spans="1:9" x14ac:dyDescent="0.25">
      <c r="C22" s="122" t="s">
        <v>527</v>
      </c>
    </row>
    <row r="23" spans="1:9" x14ac:dyDescent="0.25">
      <c r="C23" s="122" t="s">
        <v>418</v>
      </c>
    </row>
    <row r="24" spans="1:9" x14ac:dyDescent="0.25">
      <c r="C24" s="122" t="s">
        <v>528</v>
      </c>
    </row>
    <row r="25" spans="1:9" x14ac:dyDescent="0.25">
      <c r="C25" s="122" t="s">
        <v>419</v>
      </c>
    </row>
    <row r="26" spans="1:9" x14ac:dyDescent="0.25">
      <c r="C26" s="122" t="s">
        <v>529</v>
      </c>
    </row>
    <row r="27" spans="1:9" x14ac:dyDescent="0.25">
      <c r="C27" s="122" t="s">
        <v>530</v>
      </c>
    </row>
    <row r="28" spans="1:9" x14ac:dyDescent="0.25">
      <c r="A28" s="36">
        <v>4</v>
      </c>
      <c r="B28" s="36" t="s">
        <v>420</v>
      </c>
      <c r="I28" s="74"/>
    </row>
    <row r="29" spans="1:9" x14ac:dyDescent="0.25">
      <c r="B29" s="122" t="s">
        <v>422</v>
      </c>
    </row>
    <row r="30" spans="1:9" x14ac:dyDescent="0.25">
      <c r="B30" s="122" t="s">
        <v>421</v>
      </c>
    </row>
    <row r="31" spans="1:9" x14ac:dyDescent="0.25">
      <c r="B31" s="122" t="s">
        <v>423</v>
      </c>
    </row>
    <row r="32" spans="1:9" x14ac:dyDescent="0.25">
      <c r="C32" t="s">
        <v>532</v>
      </c>
    </row>
    <row r="33" spans="1:9" x14ac:dyDescent="0.25">
      <c r="A33" s="36">
        <v>5</v>
      </c>
      <c r="B33" s="36" t="s">
        <v>424</v>
      </c>
    </row>
    <row r="34" spans="1:9" x14ac:dyDescent="0.25">
      <c r="B34" s="122" t="s">
        <v>426</v>
      </c>
    </row>
    <row r="35" spans="1:9" x14ac:dyDescent="0.25">
      <c r="B35" s="122" t="s">
        <v>425</v>
      </c>
    </row>
    <row r="36" spans="1:9" x14ac:dyDescent="0.25">
      <c r="A36" s="36">
        <v>6</v>
      </c>
      <c r="B36" s="123" t="s">
        <v>427</v>
      </c>
    </row>
    <row r="37" spans="1:9" x14ac:dyDescent="0.25">
      <c r="B37" s="122" t="s">
        <v>429</v>
      </c>
    </row>
    <row r="38" spans="1:9" x14ac:dyDescent="0.25">
      <c r="B38" s="122" t="s">
        <v>428</v>
      </c>
    </row>
    <row r="39" spans="1:9" x14ac:dyDescent="0.25">
      <c r="B39" s="122" t="s">
        <v>430</v>
      </c>
    </row>
    <row r="40" spans="1:9" x14ac:dyDescent="0.25">
      <c r="C40" s="123" t="s">
        <v>431</v>
      </c>
    </row>
    <row r="41" spans="1:9" x14ac:dyDescent="0.25">
      <c r="C41" s="123" t="s">
        <v>432</v>
      </c>
    </row>
    <row r="42" spans="1:9" x14ac:dyDescent="0.25">
      <c r="C42" s="123" t="s">
        <v>433</v>
      </c>
    </row>
    <row r="43" spans="1:9" x14ac:dyDescent="0.25">
      <c r="A43" s="36">
        <v>7</v>
      </c>
      <c r="B43" s="36" t="s">
        <v>434</v>
      </c>
      <c r="I43" s="124"/>
    </row>
    <row r="44" spans="1:9" x14ac:dyDescent="0.25">
      <c r="B44" t="s">
        <v>435</v>
      </c>
      <c r="C44" s="54" t="s">
        <v>371</v>
      </c>
      <c r="I44" s="124"/>
    </row>
    <row r="45" spans="1:9" x14ac:dyDescent="0.25">
      <c r="C45" s="123" t="s">
        <v>459</v>
      </c>
    </row>
    <row r="46" spans="1:9" x14ac:dyDescent="0.25">
      <c r="C46" s="123" t="s">
        <v>460</v>
      </c>
      <c r="E46" s="122" t="s">
        <v>522</v>
      </c>
    </row>
    <row r="47" spans="1:9" x14ac:dyDescent="0.25">
      <c r="C47" s="123"/>
      <c r="E47" s="122" t="s">
        <v>523</v>
      </c>
    </row>
    <row r="48" spans="1:9" x14ac:dyDescent="0.25">
      <c r="E48" s="122" t="s">
        <v>461</v>
      </c>
    </row>
    <row r="49" spans="2:5" x14ac:dyDescent="0.25">
      <c r="E49" s="122" t="s">
        <v>462</v>
      </c>
    </row>
    <row r="50" spans="2:5" x14ac:dyDescent="0.25">
      <c r="D50" s="125" t="s">
        <v>463</v>
      </c>
    </row>
    <row r="51" spans="2:5" x14ac:dyDescent="0.25">
      <c r="B51" t="s">
        <v>436</v>
      </c>
      <c r="C51" t="s">
        <v>375</v>
      </c>
    </row>
    <row r="52" spans="2:5" x14ac:dyDescent="0.25">
      <c r="C52" s="126" t="s">
        <v>470</v>
      </c>
      <c r="D52" s="126"/>
      <c r="E52" s="126"/>
    </row>
    <row r="53" spans="2:5" x14ac:dyDescent="0.25">
      <c r="C53" s="126"/>
      <c r="D53" s="127" t="s">
        <v>464</v>
      </c>
      <c r="E53" s="126"/>
    </row>
    <row r="54" spans="2:5" x14ac:dyDescent="0.25">
      <c r="C54" s="126"/>
      <c r="D54" s="127" t="s">
        <v>465</v>
      </c>
      <c r="E54" s="126"/>
    </row>
    <row r="55" spans="2:5" x14ac:dyDescent="0.25">
      <c r="C55" s="126"/>
      <c r="D55" s="127" t="s">
        <v>466</v>
      </c>
      <c r="E55" s="126"/>
    </row>
    <row r="56" spans="2:5" x14ac:dyDescent="0.25">
      <c r="C56" s="126"/>
      <c r="D56" s="127" t="s">
        <v>467</v>
      </c>
      <c r="E56" s="126"/>
    </row>
    <row r="57" spans="2:5" x14ac:dyDescent="0.25">
      <c r="C57" s="126"/>
      <c r="D57" s="127" t="s">
        <v>469</v>
      </c>
      <c r="E57" s="126"/>
    </row>
    <row r="58" spans="2:5" x14ac:dyDescent="0.25">
      <c r="C58" s="122" t="s">
        <v>468</v>
      </c>
    </row>
    <row r="59" spans="2:5" x14ac:dyDescent="0.25">
      <c r="C59" s="122" t="s">
        <v>472</v>
      </c>
    </row>
    <row r="60" spans="2:5" x14ac:dyDescent="0.25">
      <c r="C60" s="128" t="s">
        <v>208</v>
      </c>
      <c r="D60" s="130"/>
      <c r="E60" s="131">
        <v>5000000</v>
      </c>
    </row>
    <row r="61" spans="2:5" x14ac:dyDescent="0.25">
      <c r="C61" s="128" t="s">
        <v>209</v>
      </c>
      <c r="D61" s="130"/>
      <c r="E61" s="131">
        <v>3000000</v>
      </c>
    </row>
    <row r="62" spans="2:5" x14ac:dyDescent="0.25">
      <c r="C62" s="128" t="s">
        <v>210</v>
      </c>
      <c r="D62" s="130"/>
      <c r="E62" s="131">
        <v>2000000</v>
      </c>
    </row>
    <row r="63" spans="2:5" x14ac:dyDescent="0.25">
      <c r="C63" s="128" t="s">
        <v>211</v>
      </c>
      <c r="D63" s="130"/>
      <c r="E63" s="131">
        <v>1000000</v>
      </c>
    </row>
    <row r="64" spans="2:5" x14ac:dyDescent="0.25">
      <c r="C64" s="128" t="s">
        <v>212</v>
      </c>
      <c r="D64" s="130"/>
      <c r="E64" s="131">
        <v>1000000</v>
      </c>
    </row>
    <row r="65" spans="2:5" x14ac:dyDescent="0.25">
      <c r="C65" s="128" t="s">
        <v>233</v>
      </c>
      <c r="D65" s="130"/>
      <c r="E65" s="131">
        <v>500000</v>
      </c>
    </row>
    <row r="66" spans="2:5" x14ac:dyDescent="0.25">
      <c r="C66" s="128" t="s">
        <v>234</v>
      </c>
      <c r="D66" s="130"/>
      <c r="E66" s="131">
        <v>500000</v>
      </c>
    </row>
    <row r="67" spans="2:5" x14ac:dyDescent="0.25">
      <c r="C67" s="128" t="s">
        <v>235</v>
      </c>
      <c r="D67" s="130"/>
      <c r="E67" s="131">
        <v>0</v>
      </c>
    </row>
    <row r="68" spans="2:5" x14ac:dyDescent="0.25">
      <c r="C68" s="128" t="s">
        <v>236</v>
      </c>
      <c r="D68" s="130"/>
      <c r="E68" s="131">
        <v>0</v>
      </c>
    </row>
    <row r="69" spans="2:5" x14ac:dyDescent="0.25">
      <c r="C69" s="122"/>
    </row>
    <row r="70" spans="2:5" x14ac:dyDescent="0.25">
      <c r="B70" t="s">
        <v>437</v>
      </c>
      <c r="C70" t="s">
        <v>471</v>
      </c>
      <c r="E70" s="30"/>
    </row>
    <row r="71" spans="2:5" x14ac:dyDescent="0.25">
      <c r="C71" s="122" t="s">
        <v>472</v>
      </c>
    </row>
    <row r="72" spans="2:5" x14ac:dyDescent="0.25">
      <c r="C72" s="128" t="s">
        <v>208</v>
      </c>
      <c r="D72" s="130"/>
      <c r="E72" s="131">
        <v>3000000</v>
      </c>
    </row>
    <row r="73" spans="2:5" x14ac:dyDescent="0.25">
      <c r="C73" s="128" t="s">
        <v>209</v>
      </c>
      <c r="D73" s="130"/>
      <c r="E73" s="131">
        <v>2000000</v>
      </c>
    </row>
    <row r="74" spans="2:5" x14ac:dyDescent="0.25">
      <c r="C74" s="128" t="s">
        <v>210</v>
      </c>
      <c r="D74" s="130"/>
      <c r="E74" s="131">
        <v>1000000</v>
      </c>
    </row>
    <row r="75" spans="2:5" x14ac:dyDescent="0.25">
      <c r="C75" s="128" t="s">
        <v>211</v>
      </c>
      <c r="D75" s="130"/>
      <c r="E75" s="131">
        <v>500000</v>
      </c>
    </row>
    <row r="76" spans="2:5" x14ac:dyDescent="0.25">
      <c r="C76" s="128" t="s">
        <v>212</v>
      </c>
      <c r="D76" s="130"/>
      <c r="E76" s="131">
        <v>500000</v>
      </c>
    </row>
    <row r="77" spans="2:5" x14ac:dyDescent="0.25">
      <c r="C77" s="128" t="s">
        <v>233</v>
      </c>
      <c r="D77" s="130"/>
      <c r="E77" s="131">
        <v>500000</v>
      </c>
    </row>
    <row r="78" spans="2:5" x14ac:dyDescent="0.25">
      <c r="C78" s="128" t="s">
        <v>234</v>
      </c>
      <c r="D78" s="130"/>
      <c r="E78" s="131">
        <v>500000</v>
      </c>
    </row>
    <row r="79" spans="2:5" x14ac:dyDescent="0.25">
      <c r="C79" s="128" t="s">
        <v>235</v>
      </c>
      <c r="D79" s="130"/>
      <c r="E79" s="131">
        <v>0</v>
      </c>
    </row>
    <row r="80" spans="2:5" x14ac:dyDescent="0.25">
      <c r="C80" s="128" t="s">
        <v>236</v>
      </c>
      <c r="D80" s="130"/>
      <c r="E80" s="131">
        <v>0</v>
      </c>
    </row>
    <row r="81" spans="2:5" x14ac:dyDescent="0.25">
      <c r="B81" t="s">
        <v>438</v>
      </c>
      <c r="C81" t="s">
        <v>473</v>
      </c>
      <c r="D81" s="129"/>
      <c r="E81" s="133"/>
    </row>
    <row r="82" spans="2:5" x14ac:dyDescent="0.25">
      <c r="C82" s="122" t="s">
        <v>474</v>
      </c>
      <c r="D82" s="129"/>
      <c r="E82" s="133"/>
    </row>
    <row r="83" spans="2:5" x14ac:dyDescent="0.25">
      <c r="C83" s="128" t="s">
        <v>208</v>
      </c>
      <c r="D83" s="130"/>
      <c r="E83" s="131">
        <v>3000000</v>
      </c>
    </row>
    <row r="84" spans="2:5" x14ac:dyDescent="0.25">
      <c r="C84" s="128" t="s">
        <v>209</v>
      </c>
      <c r="D84" s="130"/>
      <c r="E84" s="131">
        <v>1000000</v>
      </c>
    </row>
    <row r="85" spans="2:5" x14ac:dyDescent="0.25">
      <c r="C85" s="128" t="s">
        <v>210</v>
      </c>
      <c r="D85" s="130"/>
      <c r="E85" s="131">
        <v>1000000</v>
      </c>
    </row>
    <row r="86" spans="2:5" x14ac:dyDescent="0.25">
      <c r="C86" s="128" t="s">
        <v>211</v>
      </c>
      <c r="D86" s="130"/>
      <c r="E86" s="131">
        <v>500000</v>
      </c>
    </row>
    <row r="87" spans="2:5" x14ac:dyDescent="0.25">
      <c r="C87" s="128" t="s">
        <v>212</v>
      </c>
      <c r="D87" s="130"/>
      <c r="E87" s="131">
        <v>500000</v>
      </c>
    </row>
    <row r="88" spans="2:5" x14ac:dyDescent="0.25">
      <c r="C88" s="128" t="s">
        <v>233</v>
      </c>
      <c r="D88" s="130"/>
      <c r="E88" s="131">
        <v>0</v>
      </c>
    </row>
    <row r="89" spans="2:5" x14ac:dyDescent="0.25">
      <c r="C89" s="128" t="s">
        <v>234</v>
      </c>
      <c r="D89" s="130"/>
      <c r="E89" s="131">
        <v>0</v>
      </c>
    </row>
    <row r="90" spans="2:5" x14ac:dyDescent="0.25">
      <c r="C90" s="128" t="s">
        <v>235</v>
      </c>
      <c r="D90" s="130"/>
      <c r="E90" s="131">
        <v>0</v>
      </c>
    </row>
    <row r="91" spans="2:5" x14ac:dyDescent="0.25">
      <c r="C91" s="128" t="s">
        <v>236</v>
      </c>
      <c r="D91" s="130"/>
      <c r="E91" s="131">
        <v>0</v>
      </c>
    </row>
    <row r="92" spans="2:5" x14ac:dyDescent="0.25">
      <c r="C92" s="134" t="s">
        <v>475</v>
      </c>
      <c r="D92" s="129"/>
      <c r="E92" s="133"/>
    </row>
    <row r="93" spans="2:5" x14ac:dyDescent="0.25">
      <c r="B93" t="s">
        <v>439</v>
      </c>
      <c r="C93" t="s">
        <v>476</v>
      </c>
      <c r="D93" s="129"/>
      <c r="E93" s="133"/>
    </row>
    <row r="94" spans="2:5" x14ac:dyDescent="0.25">
      <c r="C94" s="122" t="s">
        <v>472</v>
      </c>
      <c r="D94" s="129"/>
      <c r="E94" s="133"/>
    </row>
    <row r="95" spans="2:5" x14ac:dyDescent="0.25">
      <c r="C95" s="128" t="s">
        <v>208</v>
      </c>
      <c r="D95" s="130"/>
      <c r="E95" s="131" t="s">
        <v>477</v>
      </c>
    </row>
    <row r="96" spans="2:5" x14ac:dyDescent="0.25">
      <c r="C96" s="128" t="s">
        <v>209</v>
      </c>
      <c r="D96" s="130"/>
      <c r="E96" s="131" t="s">
        <v>477</v>
      </c>
    </row>
    <row r="97" spans="2:5" x14ac:dyDescent="0.25">
      <c r="C97" s="128" t="s">
        <v>210</v>
      </c>
      <c r="D97" s="130"/>
      <c r="E97" s="131">
        <v>200000</v>
      </c>
    </row>
    <row r="98" spans="2:5" x14ac:dyDescent="0.25">
      <c r="C98" s="128" t="s">
        <v>211</v>
      </c>
      <c r="D98" s="130"/>
      <c r="E98" s="131">
        <v>200000</v>
      </c>
    </row>
    <row r="99" spans="2:5" x14ac:dyDescent="0.25">
      <c r="C99" s="128" t="s">
        <v>212</v>
      </c>
      <c r="D99" s="130"/>
      <c r="E99" s="131">
        <v>200000</v>
      </c>
    </row>
    <row r="100" spans="2:5" x14ac:dyDescent="0.25">
      <c r="C100" s="128" t="s">
        <v>233</v>
      </c>
      <c r="D100" s="130"/>
      <c r="E100" s="131">
        <v>200000</v>
      </c>
    </row>
    <row r="101" spans="2:5" x14ac:dyDescent="0.25">
      <c r="C101" s="128" t="s">
        <v>234</v>
      </c>
      <c r="D101" s="130"/>
      <c r="E101" s="131" t="s">
        <v>478</v>
      </c>
    </row>
    <row r="102" spans="2:5" x14ac:dyDescent="0.25">
      <c r="C102" s="128" t="s">
        <v>235</v>
      </c>
      <c r="D102" s="130"/>
      <c r="E102" s="131">
        <v>0</v>
      </c>
    </row>
    <row r="103" spans="2:5" x14ac:dyDescent="0.25">
      <c r="C103" s="128" t="s">
        <v>236</v>
      </c>
      <c r="D103" s="130"/>
      <c r="E103" s="131">
        <v>0</v>
      </c>
    </row>
    <row r="104" spans="2:5" x14ac:dyDescent="0.25">
      <c r="B104" t="s">
        <v>439</v>
      </c>
      <c r="C104" t="s">
        <v>479</v>
      </c>
      <c r="D104" s="129"/>
      <c r="E104" s="133"/>
    </row>
    <row r="105" spans="2:5" x14ac:dyDescent="0.25">
      <c r="C105" s="122" t="s">
        <v>472</v>
      </c>
      <c r="D105" s="129"/>
      <c r="E105" s="133"/>
    </row>
    <row r="106" spans="2:5" x14ac:dyDescent="0.25">
      <c r="C106" s="128" t="s">
        <v>208</v>
      </c>
      <c r="D106" s="130"/>
      <c r="E106" s="131"/>
    </row>
    <row r="107" spans="2:5" x14ac:dyDescent="0.25">
      <c r="C107" s="128" t="s">
        <v>209</v>
      </c>
      <c r="D107" s="130"/>
      <c r="E107" s="131"/>
    </row>
    <row r="108" spans="2:5" x14ac:dyDescent="0.25">
      <c r="C108" s="128" t="s">
        <v>210</v>
      </c>
      <c r="D108" s="130"/>
      <c r="E108" s="131"/>
    </row>
    <row r="109" spans="2:5" x14ac:dyDescent="0.25">
      <c r="C109" s="128" t="s">
        <v>211</v>
      </c>
      <c r="D109" s="130"/>
      <c r="E109" s="131"/>
    </row>
    <row r="110" spans="2:5" x14ac:dyDescent="0.25">
      <c r="C110" s="128" t="s">
        <v>212</v>
      </c>
      <c r="D110" s="130"/>
      <c r="E110" s="131"/>
    </row>
    <row r="111" spans="2:5" x14ac:dyDescent="0.25">
      <c r="C111" s="128" t="s">
        <v>233</v>
      </c>
      <c r="D111" s="130"/>
      <c r="E111" s="131"/>
    </row>
    <row r="112" spans="2:5" x14ac:dyDescent="0.25">
      <c r="C112" s="128" t="s">
        <v>234</v>
      </c>
      <c r="D112" s="130"/>
      <c r="E112" s="131"/>
    </row>
    <row r="113" spans="1:5" x14ac:dyDescent="0.25">
      <c r="C113" s="128" t="s">
        <v>235</v>
      </c>
      <c r="D113" s="130"/>
      <c r="E113" s="131"/>
    </row>
    <row r="114" spans="1:5" x14ac:dyDescent="0.25">
      <c r="C114" s="128" t="s">
        <v>236</v>
      </c>
      <c r="D114" s="130"/>
      <c r="E114" s="131"/>
    </row>
    <row r="115" spans="1:5" x14ac:dyDescent="0.25">
      <c r="A115" s="36">
        <v>8</v>
      </c>
      <c r="B115" s="36" t="s">
        <v>446</v>
      </c>
    </row>
    <row r="116" spans="1:5" x14ac:dyDescent="0.25">
      <c r="B116" t="s">
        <v>440</v>
      </c>
      <c r="C116" t="s">
        <v>448</v>
      </c>
    </row>
    <row r="117" spans="1:5" x14ac:dyDescent="0.25">
      <c r="C117" t="s">
        <v>441</v>
      </c>
    </row>
    <row r="118" spans="1:5" x14ac:dyDescent="0.25">
      <c r="B118" t="s">
        <v>442</v>
      </c>
      <c r="C118" t="s">
        <v>449</v>
      </c>
    </row>
    <row r="119" spans="1:5" x14ac:dyDescent="0.25">
      <c r="C119" t="s">
        <v>443</v>
      </c>
    </row>
    <row r="120" spans="1:5" x14ac:dyDescent="0.25">
      <c r="B120" t="s">
        <v>444</v>
      </c>
      <c r="C120" t="s">
        <v>450</v>
      </c>
    </row>
    <row r="121" spans="1:5" x14ac:dyDescent="0.25">
      <c r="C121" t="s">
        <v>445</v>
      </c>
    </row>
    <row r="122" spans="1:5" x14ac:dyDescent="0.25">
      <c r="B122" t="s">
        <v>447</v>
      </c>
      <c r="C122" t="s">
        <v>451</v>
      </c>
    </row>
    <row r="123" spans="1:5" x14ac:dyDescent="0.25">
      <c r="C123" t="s">
        <v>455</v>
      </c>
    </row>
    <row r="124" spans="1:5" x14ac:dyDescent="0.25">
      <c r="C124" t="s">
        <v>456</v>
      </c>
    </row>
    <row r="125" spans="1:5" x14ac:dyDescent="0.25">
      <c r="B125" t="s">
        <v>452</v>
      </c>
      <c r="C125" t="s">
        <v>453</v>
      </c>
    </row>
    <row r="126" spans="1:5" x14ac:dyDescent="0.25">
      <c r="C126" t="s">
        <v>454</v>
      </c>
    </row>
    <row r="127" spans="1:5" x14ac:dyDescent="0.25">
      <c r="B127" t="s">
        <v>457</v>
      </c>
      <c r="C127" t="s">
        <v>109</v>
      </c>
    </row>
    <row r="128" spans="1:5" x14ac:dyDescent="0.25">
      <c r="C128" t="s">
        <v>458</v>
      </c>
    </row>
    <row r="129" spans="1:7" x14ac:dyDescent="0.25">
      <c r="A129" s="36">
        <v>9</v>
      </c>
      <c r="B129" s="36" t="s">
        <v>481</v>
      </c>
    </row>
    <row r="130" spans="1:7" x14ac:dyDescent="0.25">
      <c r="B130" t="s">
        <v>482</v>
      </c>
    </row>
    <row r="131" spans="1:7" x14ac:dyDescent="0.25">
      <c r="C131" s="122" t="s">
        <v>483</v>
      </c>
    </row>
    <row r="132" spans="1:7" x14ac:dyDescent="0.25">
      <c r="E132" s="128" t="s">
        <v>490</v>
      </c>
      <c r="F132" s="130" t="s">
        <v>484</v>
      </c>
      <c r="G132" s="131"/>
    </row>
    <row r="133" spans="1:7" x14ac:dyDescent="0.25">
      <c r="E133" s="128" t="s">
        <v>486</v>
      </c>
      <c r="F133" s="130" t="s">
        <v>485</v>
      </c>
      <c r="G133" s="131"/>
    </row>
    <row r="134" spans="1:7" x14ac:dyDescent="0.25">
      <c r="E134" s="128" t="s">
        <v>487</v>
      </c>
      <c r="F134" s="130" t="s">
        <v>485</v>
      </c>
      <c r="G134" s="131"/>
    </row>
    <row r="135" spans="1:7" x14ac:dyDescent="0.25">
      <c r="E135" s="128" t="s">
        <v>488</v>
      </c>
      <c r="F135" s="130" t="s">
        <v>484</v>
      </c>
      <c r="G135" s="131"/>
    </row>
    <row r="136" spans="1:7" x14ac:dyDescent="0.25">
      <c r="E136" s="132"/>
      <c r="F136" s="129"/>
      <c r="G136" s="133"/>
    </row>
    <row r="137" spans="1:7" x14ac:dyDescent="0.25">
      <c r="E137" s="132"/>
      <c r="F137" s="129"/>
      <c r="G137" s="133"/>
    </row>
    <row r="138" spans="1:7" x14ac:dyDescent="0.25">
      <c r="C138" t="s">
        <v>489</v>
      </c>
    </row>
    <row r="139" spans="1:7" x14ac:dyDescent="0.25">
      <c r="C139" s="122" t="s">
        <v>491</v>
      </c>
    </row>
    <row r="140" spans="1:7" x14ac:dyDescent="0.25">
      <c r="C140" s="122" t="s">
        <v>492</v>
      </c>
    </row>
    <row r="141" spans="1:7" x14ac:dyDescent="0.25">
      <c r="C141" s="122" t="s">
        <v>493</v>
      </c>
    </row>
    <row r="142" spans="1:7" x14ac:dyDescent="0.25">
      <c r="C142" s="122" t="s">
        <v>495</v>
      </c>
    </row>
    <row r="143" spans="1:7" x14ac:dyDescent="0.25">
      <c r="C143" s="122" t="s">
        <v>494</v>
      </c>
    </row>
    <row r="144" spans="1:7" x14ac:dyDescent="0.25">
      <c r="C144" t="s">
        <v>496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-0.249977111117893"/>
    <pageSetUpPr fitToPage="1"/>
  </sheetPr>
  <dimension ref="A1:AF60"/>
  <sheetViews>
    <sheetView zoomScale="70" zoomScaleNormal="70" workbookViewId="0">
      <pane xSplit="3" ySplit="4" topLeftCell="L29" activePane="bottomRight" state="frozen"/>
      <selection pane="topRight" activeCell="D1" sqref="D1"/>
      <selection pane="bottomLeft" activeCell="A6" sqref="A6"/>
      <selection pane="bottomRight" activeCell="AC47" sqref="AC47"/>
    </sheetView>
  </sheetViews>
  <sheetFormatPr defaultColWidth="9.140625" defaultRowHeight="14.25" x14ac:dyDescent="0.2"/>
  <cols>
    <col min="1" max="1" width="5.140625" style="1" customWidth="1"/>
    <col min="2" max="2" width="7.85546875" style="1" customWidth="1"/>
    <col min="3" max="3" width="21.140625" style="1" customWidth="1"/>
    <col min="4" max="4" width="13.42578125" style="1" customWidth="1"/>
    <col min="5" max="5" width="13.140625" style="1" customWidth="1"/>
    <col min="6" max="6" width="7.7109375" style="1" customWidth="1"/>
    <col min="7" max="7" width="11.7109375" style="1" customWidth="1"/>
    <col min="8" max="8" width="8.140625" style="26" customWidth="1"/>
    <col min="9" max="9" width="6.5703125" style="26" bestFit="1" customWidth="1"/>
    <col min="10" max="10" width="11.28515625" style="31" customWidth="1"/>
    <col min="11" max="11" width="7.42578125" style="147" customWidth="1"/>
    <col min="12" max="12" width="10.28515625" style="31" bestFit="1" customWidth="1"/>
    <col min="13" max="16" width="7.42578125" style="31" customWidth="1"/>
    <col min="17" max="17" width="13.42578125" style="31" customWidth="1"/>
    <col min="18" max="18" width="11.140625" style="31" customWidth="1"/>
    <col min="19" max="19" width="12" style="31" customWidth="1"/>
    <col min="20" max="20" width="11.5703125" style="31" bestFit="1" customWidth="1"/>
    <col min="21" max="24" width="10.5703125" style="31" customWidth="1"/>
    <col min="25" max="25" width="15" style="31" bestFit="1" customWidth="1"/>
    <col min="26" max="26" width="12.42578125" style="31" bestFit="1" customWidth="1"/>
    <col min="27" max="27" width="13" style="31" customWidth="1"/>
    <col min="28" max="28" width="0.140625" style="31" hidden="1" customWidth="1"/>
    <col min="29" max="29" width="13.7109375" style="31" customWidth="1"/>
    <col min="30" max="30" width="9.140625" style="1"/>
    <col min="31" max="31" width="4.140625" style="31" customWidth="1"/>
    <col min="32" max="32" width="15.5703125" style="31" bestFit="1" customWidth="1"/>
    <col min="33" max="16384" width="9.140625" style="1"/>
  </cols>
  <sheetData>
    <row r="1" spans="1:32" x14ac:dyDescent="0.2">
      <c r="A1" s="1" t="s">
        <v>536</v>
      </c>
    </row>
    <row r="2" spans="1:32" ht="19.5" x14ac:dyDescent="0.25">
      <c r="A2" s="1" t="s">
        <v>537</v>
      </c>
      <c r="H2" s="1"/>
      <c r="J2" s="167" t="s">
        <v>557</v>
      </c>
      <c r="N2" s="167"/>
      <c r="Y2" s="31" t="s">
        <v>556</v>
      </c>
      <c r="AA2" s="212">
        <v>0.105</v>
      </c>
    </row>
    <row r="3" spans="1:32" x14ac:dyDescent="0.2">
      <c r="G3" s="189">
        <f>3500000*107%</f>
        <v>3745000</v>
      </c>
      <c r="K3" s="190">
        <v>26</v>
      </c>
      <c r="L3" s="189"/>
      <c r="S3" s="189">
        <v>1</v>
      </c>
      <c r="T3" s="189">
        <v>300000</v>
      </c>
    </row>
    <row r="4" spans="1:32" s="5" customFormat="1" ht="46.5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376</v>
      </c>
      <c r="F4" s="4" t="s">
        <v>377</v>
      </c>
      <c r="G4" s="4" t="s">
        <v>229</v>
      </c>
      <c r="H4" s="4" t="s">
        <v>217</v>
      </c>
      <c r="I4" s="4" t="s">
        <v>230</v>
      </c>
      <c r="J4" s="32" t="s">
        <v>538</v>
      </c>
      <c r="K4" s="169" t="s">
        <v>354</v>
      </c>
      <c r="L4" s="32" t="s">
        <v>534</v>
      </c>
      <c r="M4" s="32" t="s">
        <v>389</v>
      </c>
      <c r="N4" s="32" t="s">
        <v>357</v>
      </c>
      <c r="O4" s="32" t="s">
        <v>387</v>
      </c>
      <c r="P4" s="32" t="s">
        <v>388</v>
      </c>
      <c r="Q4" s="32" t="s">
        <v>533</v>
      </c>
      <c r="R4" s="32" t="s">
        <v>535</v>
      </c>
      <c r="S4" s="32" t="s">
        <v>370</v>
      </c>
      <c r="T4" s="32" t="s">
        <v>371</v>
      </c>
      <c r="U4" s="32" t="s">
        <v>375</v>
      </c>
      <c r="V4" s="32" t="s">
        <v>372</v>
      </c>
      <c r="W4" s="32" t="s">
        <v>373</v>
      </c>
      <c r="X4" s="32" t="s">
        <v>374</v>
      </c>
      <c r="Y4" s="32" t="s">
        <v>237</v>
      </c>
      <c r="Z4" s="32" t="s">
        <v>545</v>
      </c>
      <c r="AA4" s="32" t="s">
        <v>544</v>
      </c>
      <c r="AB4" s="32" t="s">
        <v>546</v>
      </c>
      <c r="AC4" s="32" t="s">
        <v>546</v>
      </c>
      <c r="AD4" s="191" t="s">
        <v>552</v>
      </c>
      <c r="AE4" s="213"/>
      <c r="AF4" s="213" t="s">
        <v>555</v>
      </c>
    </row>
    <row r="5" spans="1:32" s="176" customFormat="1" x14ac:dyDescent="0.2">
      <c r="A5" s="171" t="s">
        <v>14</v>
      </c>
      <c r="B5" s="171"/>
      <c r="C5" s="171" t="s">
        <v>15</v>
      </c>
      <c r="D5" s="171"/>
      <c r="E5" s="171"/>
      <c r="F5" s="171"/>
      <c r="G5" s="172"/>
      <c r="H5" s="173"/>
      <c r="I5" s="173"/>
      <c r="J5" s="174"/>
      <c r="K5" s="186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 t="e">
        <f ca="1">SUM(Y6:Y9)</f>
        <v>#N/A</v>
      </c>
      <c r="Z5" s="174" t="e">
        <f>SUM(Z6:Z9)</f>
        <v>#REF!</v>
      </c>
      <c r="AA5" s="174">
        <f>SUM(AA6:AA9)</f>
        <v>1125600</v>
      </c>
      <c r="AB5" s="174" t="e">
        <f ca="1">SUM(AB6:AB9)</f>
        <v>#N/A</v>
      </c>
      <c r="AC5" s="174" t="e">
        <f ca="1">SUM(AC6:AC9)</f>
        <v>#N/A</v>
      </c>
      <c r="AD5" s="192"/>
      <c r="AE5" s="214"/>
      <c r="AF5" s="214"/>
    </row>
    <row r="6" spans="1:32" ht="21" customHeight="1" x14ac:dyDescent="0.2">
      <c r="A6" s="3">
        <v>1</v>
      </c>
      <c r="B6" s="3" t="s">
        <v>162</v>
      </c>
      <c r="C6" s="3" t="s">
        <v>62</v>
      </c>
      <c r="D6" s="3" t="s">
        <v>201</v>
      </c>
      <c r="E6" s="110">
        <v>38078</v>
      </c>
      <c r="F6" s="111">
        <f t="shared" ref="F6:F47" ca="1" si="0">IF(E6=0,0,INT((NOW()-E6)/365))</f>
        <v>15</v>
      </c>
      <c r="G6" s="22">
        <f t="shared" ref="G6:G23" si="1">$G$3</f>
        <v>3745000</v>
      </c>
      <c r="H6" s="28" t="s">
        <v>210</v>
      </c>
      <c r="I6" s="28">
        <v>1</v>
      </c>
      <c r="J6" s="22">
        <f>SUMIFS(Sheet2!$C$1:$C$81,Sheet2!$A$1:$A$81,'Bang luong'!H6,Sheet2!$B$1:$B$81,'Bang luong'!I6)*1000</f>
        <v>6366500</v>
      </c>
      <c r="K6" s="77" t="e">
        <f>VLOOKUP(C6,CC!$C$5:$AJ$67,34,0)</f>
        <v>#N/A</v>
      </c>
      <c r="L6" s="22" t="e">
        <f>J6/26*K6</f>
        <v>#N/A</v>
      </c>
      <c r="M6" s="22" t="e">
        <f>VLOOKUP(C6,CC!$C$5:$AM$67,36,0)</f>
        <v>#N/A</v>
      </c>
      <c r="N6" s="22" t="e">
        <f>VLOOKUP(C6,CC!$C$5:$BS$67,69,0)</f>
        <v>#N/A</v>
      </c>
      <c r="O6" s="22" t="e">
        <f>VLOOKUP(C6,CC!$C$5:$BT$67,70,0)</f>
        <v>#N/A</v>
      </c>
      <c r="P6" s="22" t="e">
        <f>VLOOKUP(C6,CC!$C$5:$AM$67,37,0)</f>
        <v>#N/A</v>
      </c>
      <c r="Q6" s="22" t="e">
        <f>((J6/26)*K6)+(M6*(J6/26))+((N6/8)*1.5*(J6/26))+((O6/8)*2*J6/26)+(P6*3*(J6/26))</f>
        <v>#N/A</v>
      </c>
      <c r="R6" s="22"/>
      <c r="S6" s="22">
        <f ca="1">IF((F6-$S$3)&gt;0,F6%*J6,0)</f>
        <v>954975</v>
      </c>
      <c r="T6" s="22">
        <f ca="1">(100%-SUMIF('chuyên cần'!$C$6:$AP$31,'Bang luong'!C6,'chuyên cần'!$AP$7:$AP$31))*$T$3</f>
        <v>300000</v>
      </c>
      <c r="U6" s="22">
        <v>2000000</v>
      </c>
      <c r="V6" s="22">
        <v>1000000</v>
      </c>
      <c r="W6" s="22">
        <v>500000</v>
      </c>
      <c r="X6" s="22">
        <v>200000</v>
      </c>
      <c r="Y6" s="106" t="e">
        <f ca="1">Q6+R6+S6+T6+U6+V6+W6+X6</f>
        <v>#N/A</v>
      </c>
      <c r="Z6" s="106" t="e">
        <f>'ung luong'!#REF!</f>
        <v>#REF!</v>
      </c>
      <c r="AA6" s="106">
        <f>AF6*$AA$2</f>
        <v>422100</v>
      </c>
      <c r="AB6" s="106" t="e">
        <f ca="1">Y6-Z6-AA6</f>
        <v>#N/A</v>
      </c>
      <c r="AC6" s="106" t="e">
        <f ca="1">ROUND(AB6,-3)</f>
        <v>#N/A</v>
      </c>
      <c r="AD6" s="193"/>
      <c r="AF6" s="31">
        <v>4020000</v>
      </c>
    </row>
    <row r="7" spans="1:32" ht="21" customHeight="1" x14ac:dyDescent="0.2">
      <c r="A7" s="3">
        <v>2</v>
      </c>
      <c r="B7" s="3" t="s">
        <v>163</v>
      </c>
      <c r="C7" s="3" t="s">
        <v>63</v>
      </c>
      <c r="D7" s="3" t="s">
        <v>202</v>
      </c>
      <c r="E7" s="110">
        <v>40868</v>
      </c>
      <c r="F7" s="111">
        <f t="shared" ca="1" si="0"/>
        <v>7</v>
      </c>
      <c r="G7" s="22">
        <f t="shared" si="1"/>
        <v>3745000</v>
      </c>
      <c r="H7" s="28" t="s">
        <v>211</v>
      </c>
      <c r="I7" s="28">
        <v>2</v>
      </c>
      <c r="J7" s="22">
        <f>SUMIFS(Sheet2!$C$1:$C$81,Sheet2!$A$1:$A$81,'Bang luong'!H7,Sheet2!$B$1:$B$81,'Bang luong'!I7)*1000</f>
        <v>6366500</v>
      </c>
      <c r="K7" s="77" t="e">
        <f>VLOOKUP(C7,CC!$C$5:$AJ$67,34,0)</f>
        <v>#N/A</v>
      </c>
      <c r="L7" s="22" t="e">
        <f t="shared" ref="L7:L49" si="2">J7/26*K7</f>
        <v>#N/A</v>
      </c>
      <c r="M7" s="22" t="e">
        <f>VLOOKUP(C7,CC!$C$5:$AM$67,36,0)</f>
        <v>#N/A</v>
      </c>
      <c r="N7" s="22" t="e">
        <f>VLOOKUP(C7,CC!$C$5:$BS$67,69,0)</f>
        <v>#N/A</v>
      </c>
      <c r="O7" s="22" t="e">
        <f>VLOOKUP(C7,CC!$C$5:$BT$67,70,0)</f>
        <v>#N/A</v>
      </c>
      <c r="P7" s="22" t="e">
        <f>VLOOKUP(C7,CC!$C$5:$AM$67,37,0)</f>
        <v>#N/A</v>
      </c>
      <c r="Q7" s="22" t="e">
        <f>((J7/26)*K7)+(M7*(J7/26))+((N7/8)*1.5*(J7/26))+((O7/8)*2*J7/26)+(P7*3*(J7/26))</f>
        <v>#N/A</v>
      </c>
      <c r="R7" s="22"/>
      <c r="S7" s="22">
        <f ca="1">IF((F7-$S$3)&gt;0,F7%*J7,0)</f>
        <v>445655.00000000006</v>
      </c>
      <c r="T7" s="22">
        <f ca="1">(100%-SUMIF('chuyên cần'!$C$6:$AP$31,'Bang luong'!C7,'chuyên cần'!$AP$7:$AP$31))*$T$3</f>
        <v>300000</v>
      </c>
      <c r="U7" s="22">
        <v>1000000</v>
      </c>
      <c r="V7" s="22">
        <v>500000</v>
      </c>
      <c r="W7" s="22">
        <v>500000</v>
      </c>
      <c r="X7" s="22">
        <v>200000</v>
      </c>
      <c r="Y7" s="106" t="e">
        <f t="shared" ref="Y7:Y16" ca="1" si="3">Q7+R7+S7+T7+U7+V7+W7+X7</f>
        <v>#N/A</v>
      </c>
      <c r="Z7" s="106" t="e">
        <f>'ung luong'!#REF!</f>
        <v>#REF!</v>
      </c>
      <c r="AA7" s="106">
        <f t="shared" ref="AA7:AA51" si="4">AF7*$AA$2</f>
        <v>351750</v>
      </c>
      <c r="AB7" s="106" t="e">
        <f t="shared" ref="AB7:AB49" ca="1" si="5">Y7-Z7-AA7</f>
        <v>#N/A</v>
      </c>
      <c r="AC7" s="106" t="e">
        <f t="shared" ref="AC7:AC49" ca="1" si="6">ROUND(AB7,-3)</f>
        <v>#N/A</v>
      </c>
      <c r="AD7" s="193"/>
      <c r="AF7" s="31">
        <v>3350000</v>
      </c>
    </row>
    <row r="8" spans="1:32" ht="21" customHeight="1" x14ac:dyDescent="0.2">
      <c r="A8" s="3">
        <v>3</v>
      </c>
      <c r="B8" s="3" t="s">
        <v>164</v>
      </c>
      <c r="C8" s="3" t="s">
        <v>64</v>
      </c>
      <c r="D8" s="3" t="s">
        <v>103</v>
      </c>
      <c r="E8" s="110">
        <v>41715</v>
      </c>
      <c r="F8" s="111">
        <f t="shared" ca="1" si="0"/>
        <v>5</v>
      </c>
      <c r="G8" s="22">
        <f t="shared" si="1"/>
        <v>3745000</v>
      </c>
      <c r="H8" s="28" t="s">
        <v>234</v>
      </c>
      <c r="I8" s="28">
        <v>4</v>
      </c>
      <c r="J8" s="22">
        <f>SUMIFS(Sheet2!$C$1:$C$81,Sheet2!$A$1:$A$81,'Bang luong'!H8,Sheet2!$B$1:$B$81,'Bang luong'!I8)*1000</f>
        <v>4868500</v>
      </c>
      <c r="K8" s="77" t="e">
        <f>VLOOKUP(C8,CC!$C$5:$AJ$67,34,0)</f>
        <v>#N/A</v>
      </c>
      <c r="L8" s="22" t="e">
        <f>J8/26*K8</f>
        <v>#N/A</v>
      </c>
      <c r="M8" s="22" t="e">
        <f>VLOOKUP(C8,CC!$C$5:$AM$67,36,0)</f>
        <v>#N/A</v>
      </c>
      <c r="N8" s="22" t="e">
        <f>VLOOKUP(C8,CC!$C$5:$BS$67,69,0)</f>
        <v>#N/A</v>
      </c>
      <c r="O8" s="22" t="e">
        <f>VLOOKUP(C8,CC!$C$5:$BT$67,70,0)</f>
        <v>#N/A</v>
      </c>
      <c r="P8" s="22" t="e">
        <f>VLOOKUP(C8,CC!$C$5:$AM$67,37,0)</f>
        <v>#N/A</v>
      </c>
      <c r="Q8" s="22" t="e">
        <f>((J8/26)*K8)+(M8*(J8/26))+((N8/8)*1.5*(J8/26))+((O8/8)*2*J8/26)+(P8*3*(J8/26))</f>
        <v>#N/A</v>
      </c>
      <c r="R8" s="22"/>
      <c r="S8" s="22">
        <f ca="1">IF((F8-$S$3)&gt;0,F8%*J8,0)</f>
        <v>243425</v>
      </c>
      <c r="T8" s="22">
        <f ca="1">(100%-SUMIF('chuyên cần'!$C$6:$AP$31,'Bang luong'!C8,'chuyên cần'!$AP$7:$AP$31))*$T$3</f>
        <v>300000</v>
      </c>
      <c r="U8" s="22">
        <v>500000</v>
      </c>
      <c r="V8" s="22">
        <v>500000</v>
      </c>
      <c r="W8" s="22"/>
      <c r="X8" s="22">
        <v>200000</v>
      </c>
      <c r="Y8" s="106" t="e">
        <f t="shared" ca="1" si="3"/>
        <v>#N/A</v>
      </c>
      <c r="Z8" s="106" t="e">
        <f>'ung luong'!#REF!</f>
        <v>#REF!</v>
      </c>
      <c r="AA8" s="106">
        <f t="shared" si="4"/>
        <v>351750</v>
      </c>
      <c r="AB8" s="106" t="e">
        <f t="shared" ca="1" si="5"/>
        <v>#N/A</v>
      </c>
      <c r="AC8" s="106" t="e">
        <f t="shared" ca="1" si="6"/>
        <v>#N/A</v>
      </c>
      <c r="AD8" s="193"/>
      <c r="AF8" s="31">
        <v>3350000</v>
      </c>
    </row>
    <row r="9" spans="1:32" ht="21" customHeight="1" x14ac:dyDescent="0.2">
      <c r="A9" s="3">
        <v>4</v>
      </c>
      <c r="B9" s="3" t="s">
        <v>165</v>
      </c>
      <c r="C9" s="3" t="s">
        <v>65</v>
      </c>
      <c r="D9" s="3" t="s">
        <v>203</v>
      </c>
      <c r="E9" s="110">
        <v>42086</v>
      </c>
      <c r="F9" s="111">
        <f t="shared" ca="1" si="0"/>
        <v>4</v>
      </c>
      <c r="G9" s="22">
        <f t="shared" si="1"/>
        <v>3745000</v>
      </c>
      <c r="H9" s="28" t="s">
        <v>234</v>
      </c>
      <c r="I9" s="28">
        <v>1</v>
      </c>
      <c r="J9" s="22">
        <f>SUMIFS(Sheet2!$C$1:$C$81,Sheet2!$A$1:$A$81,'Bang luong'!H9,Sheet2!$B$1:$B$81,'Bang luong'!I9)*1000</f>
        <v>3745000</v>
      </c>
      <c r="K9" s="77">
        <f>VLOOKUP(C9,CC!$C$5:$AJ$67,34,0)</f>
        <v>23</v>
      </c>
      <c r="L9" s="22">
        <f t="shared" si="2"/>
        <v>3312884.615384615</v>
      </c>
      <c r="M9" s="22">
        <f>VLOOKUP(C9,CC!$C$5:$AM$67,36,0)</f>
        <v>0</v>
      </c>
      <c r="N9" s="22">
        <f>VLOOKUP(C9,CC!$C$5:$BS$67,69,0)</f>
        <v>0</v>
      </c>
      <c r="O9" s="22">
        <f>VLOOKUP(C9,CC!$C$5:$BT$67,70,0)</f>
        <v>0</v>
      </c>
      <c r="P9" s="22">
        <f>VLOOKUP(C9,CC!$C$5:$AM$67,37,0)</f>
        <v>1</v>
      </c>
      <c r="Q9" s="22">
        <f>((J9/26)*K9)+(M9*(J9/26))+((N9/8)*1.5*(J9/26))+((O9/8)*2*J9/26)+(P9*3*(J9/26))</f>
        <v>3744999.9999999995</v>
      </c>
      <c r="R9" s="22"/>
      <c r="S9" s="22">
        <f ca="1">IF((F9-$S$3)&gt;0,F9%*J9,0)</f>
        <v>149800</v>
      </c>
      <c r="T9" s="22">
        <f ca="1">(100%-SUMIF('chuyên cần'!$C$6:$AP$31,'Bang luong'!C9,'chuyên cần'!$AP$7:$AP$31))*$T$3</f>
        <v>300000</v>
      </c>
      <c r="U9" s="22">
        <v>500000</v>
      </c>
      <c r="V9" s="22">
        <v>500000</v>
      </c>
      <c r="W9" s="22"/>
      <c r="X9" s="22">
        <v>200000</v>
      </c>
      <c r="Y9" s="106">
        <f t="shared" ca="1" si="3"/>
        <v>5394800</v>
      </c>
      <c r="Z9" s="106" t="e">
        <f>'ung luong'!#REF!</f>
        <v>#REF!</v>
      </c>
      <c r="AA9" s="106">
        <f t="shared" si="4"/>
        <v>0</v>
      </c>
      <c r="AB9" s="106" t="e">
        <f t="shared" ca="1" si="5"/>
        <v>#REF!</v>
      </c>
      <c r="AC9" s="106" t="e">
        <f t="shared" ca="1" si="6"/>
        <v>#REF!</v>
      </c>
      <c r="AD9" s="193"/>
    </row>
    <row r="10" spans="1:32" s="176" customFormat="1" ht="21" customHeight="1" x14ac:dyDescent="0.2">
      <c r="A10" s="171"/>
      <c r="B10" s="171"/>
      <c r="C10" s="171" t="s">
        <v>361</v>
      </c>
      <c r="D10" s="171"/>
      <c r="E10" s="171"/>
      <c r="F10" s="171"/>
      <c r="G10" s="172"/>
      <c r="H10" s="173"/>
      <c r="I10" s="173"/>
      <c r="J10" s="174"/>
      <c r="K10" s="187"/>
      <c r="L10" s="175"/>
      <c r="M10" s="175"/>
      <c r="N10" s="175"/>
      <c r="O10" s="175"/>
      <c r="P10" s="175"/>
      <c r="Q10" s="174"/>
      <c r="R10" s="174"/>
      <c r="S10" s="174"/>
      <c r="T10" s="172"/>
      <c r="U10" s="174"/>
      <c r="V10" s="174"/>
      <c r="W10" s="174"/>
      <c r="X10" s="174"/>
      <c r="Y10" s="174" t="e">
        <f ca="1">SUM(Y11:Y12)</f>
        <v>#N/A</v>
      </c>
      <c r="Z10" s="174" t="e">
        <f>SUM(Z11:Z12)</f>
        <v>#REF!</v>
      </c>
      <c r="AA10" s="174">
        <f>SUM(AA11:AA12)</f>
        <v>422100</v>
      </c>
      <c r="AB10" s="174" t="e">
        <f ca="1">SUM(AB11:AB12)</f>
        <v>#N/A</v>
      </c>
      <c r="AC10" s="174" t="e">
        <f ca="1">SUM(AC11:AC12)</f>
        <v>#N/A</v>
      </c>
      <c r="AD10" s="192"/>
      <c r="AE10" s="31"/>
      <c r="AF10" s="214"/>
    </row>
    <row r="11" spans="1:32" ht="21" customHeight="1" x14ac:dyDescent="0.2">
      <c r="A11" s="3">
        <v>5</v>
      </c>
      <c r="B11" s="3" t="s">
        <v>166</v>
      </c>
      <c r="C11" s="3" t="s">
        <v>36</v>
      </c>
      <c r="D11" s="3" t="s">
        <v>364</v>
      </c>
      <c r="E11" s="110">
        <v>40651</v>
      </c>
      <c r="F11" s="111">
        <f t="shared" ca="1" si="0"/>
        <v>8</v>
      </c>
      <c r="G11" s="22">
        <f t="shared" si="1"/>
        <v>3745000</v>
      </c>
      <c r="H11" s="28" t="s">
        <v>211</v>
      </c>
      <c r="I11" s="28">
        <v>3</v>
      </c>
      <c r="J11" s="22">
        <f>SUMIFS(Sheet2!$C$1:$C$81,Sheet2!$A$1:$A$81,'Bang luong'!H11,Sheet2!$B$1:$B$81,'Bang luong'!I11)*1000</f>
        <v>7115500</v>
      </c>
      <c r="K11" s="77" t="e">
        <f>VLOOKUP(C11,CC!$C$5:$AJ$67,34,0)</f>
        <v>#N/A</v>
      </c>
      <c r="L11" s="22" t="e">
        <f t="shared" si="2"/>
        <v>#N/A</v>
      </c>
      <c r="M11" s="22" t="e">
        <f>VLOOKUP(C11,CC!$C$5:$AM$67,36,0)</f>
        <v>#N/A</v>
      </c>
      <c r="N11" s="22" t="e">
        <f>VLOOKUP(C11,CC!$C$5:$BS$67,69,0)</f>
        <v>#N/A</v>
      </c>
      <c r="O11" s="22" t="e">
        <f>VLOOKUP(C11,CC!$C$5:$BT$67,70,0)</f>
        <v>#N/A</v>
      </c>
      <c r="P11" s="22" t="e">
        <f>VLOOKUP(C11,CC!$C$5:$AM$67,37,0)</f>
        <v>#N/A</v>
      </c>
      <c r="Q11" s="22" t="e">
        <f>((J11/26)*K11)+(M11*(J11/26))+((N11/8)*1.5*(J11/26))+((O11/8)*2*J11/26)+(P11*3*(J11/26))</f>
        <v>#N/A</v>
      </c>
      <c r="R11" s="22"/>
      <c r="S11" s="22">
        <f ca="1">IF((F11-$S$3)&gt;0,F11%*J11,0)</f>
        <v>569240</v>
      </c>
      <c r="T11" s="22">
        <f ca="1">(100%-SUMIF('chuyên cần'!$C$6:$AP$31,'Bang luong'!C11,'chuyên cần'!$AP$7:$AP$31))*$T$3</f>
        <v>300000</v>
      </c>
      <c r="U11" s="22">
        <v>1000000</v>
      </c>
      <c r="V11" s="22">
        <v>500000</v>
      </c>
      <c r="W11" s="22">
        <v>500000</v>
      </c>
      <c r="X11" s="22">
        <v>200000</v>
      </c>
      <c r="Y11" s="106" t="e">
        <f t="shared" ca="1" si="3"/>
        <v>#N/A</v>
      </c>
      <c r="Z11" s="106" t="e">
        <f>'ung luong'!#REF!</f>
        <v>#REF!</v>
      </c>
      <c r="AA11" s="106">
        <f t="shared" si="4"/>
        <v>422100</v>
      </c>
      <c r="AB11" s="106" t="e">
        <f t="shared" ca="1" si="5"/>
        <v>#N/A</v>
      </c>
      <c r="AC11" s="106" t="e">
        <f t="shared" ca="1" si="6"/>
        <v>#N/A</v>
      </c>
      <c r="AD11" s="193"/>
      <c r="AF11" s="31">
        <v>4020000</v>
      </c>
    </row>
    <row r="12" spans="1:32" ht="21" customHeight="1" x14ac:dyDescent="0.2">
      <c r="A12" s="3">
        <v>6</v>
      </c>
      <c r="B12" s="3" t="s">
        <v>167</v>
      </c>
      <c r="C12" s="3" t="s">
        <v>362</v>
      </c>
      <c r="D12" s="3" t="s">
        <v>363</v>
      </c>
      <c r="E12" s="110"/>
      <c r="F12" s="111">
        <f t="shared" ca="1" si="0"/>
        <v>0</v>
      </c>
      <c r="G12" s="22">
        <f t="shared" si="1"/>
        <v>3745000</v>
      </c>
      <c r="H12" s="28" t="s">
        <v>234</v>
      </c>
      <c r="I12" s="28">
        <v>1</v>
      </c>
      <c r="J12" s="22">
        <f>SUMIFS(Sheet2!$C$1:$C$81,Sheet2!$A$1:$A$81,'Bang luong'!H12,Sheet2!$B$1:$B$81,'Bang luong'!I12)*1000</f>
        <v>3745000</v>
      </c>
      <c r="K12" s="77" t="e">
        <f>VLOOKUP(C12,CC!$C$5:$AJ$67,34,0)</f>
        <v>#N/A</v>
      </c>
      <c r="L12" s="22" t="e">
        <f t="shared" si="2"/>
        <v>#N/A</v>
      </c>
      <c r="M12" s="22" t="e">
        <f>VLOOKUP(C12,CC!$C$5:$AM$67,36,0)</f>
        <v>#N/A</v>
      </c>
      <c r="N12" s="22" t="e">
        <f>VLOOKUP(C12,CC!$C$5:$BS$67,69,0)</f>
        <v>#N/A</v>
      </c>
      <c r="O12" s="22" t="e">
        <f>VLOOKUP(C12,CC!$C$5:$BT$67,70,0)</f>
        <v>#N/A</v>
      </c>
      <c r="P12" s="22" t="e">
        <f>VLOOKUP(C12,CC!$C$5:$AM$67,37,0)</f>
        <v>#N/A</v>
      </c>
      <c r="Q12" s="22" t="e">
        <f>((J12/26)*K12)+(M12*(J12/26))+((N12/8)*1.5*(J12/26))+((O12/8)*2*J12/26)+(P12*3*(J12/26))</f>
        <v>#N/A</v>
      </c>
      <c r="R12" s="22"/>
      <c r="S12" s="22">
        <f ca="1">IF((F12-$S$3)&gt;0,F12%*J12,0)</f>
        <v>0</v>
      </c>
      <c r="T12" s="22">
        <f ca="1">(100%-SUMIF('chuyên cần'!$C$6:$AP$31,'Bang luong'!C12,'chuyên cần'!$AP$7:$AP$31))*$T$3</f>
        <v>300000</v>
      </c>
      <c r="U12" s="22">
        <v>500000</v>
      </c>
      <c r="V12" s="22">
        <v>500000</v>
      </c>
      <c r="W12" s="22"/>
      <c r="X12" s="22">
        <v>200000</v>
      </c>
      <c r="Y12" s="106" t="e">
        <f t="shared" ca="1" si="3"/>
        <v>#N/A</v>
      </c>
      <c r="Z12" s="106" t="e">
        <f>'ung luong'!#REF!</f>
        <v>#REF!</v>
      </c>
      <c r="AA12" s="106">
        <f t="shared" si="4"/>
        <v>0</v>
      </c>
      <c r="AB12" s="106" t="e">
        <f t="shared" ca="1" si="5"/>
        <v>#N/A</v>
      </c>
      <c r="AC12" s="106" t="e">
        <f ca="1">ROUND(AB12,-3)</f>
        <v>#N/A</v>
      </c>
      <c r="AD12" s="193"/>
    </row>
    <row r="13" spans="1:32" s="176" customFormat="1" ht="21" customHeight="1" x14ac:dyDescent="0.2">
      <c r="A13" s="171" t="s">
        <v>16</v>
      </c>
      <c r="B13" s="171"/>
      <c r="C13" s="171" t="s">
        <v>17</v>
      </c>
      <c r="D13" s="171"/>
      <c r="E13" s="171"/>
      <c r="F13" s="171"/>
      <c r="G13" s="174"/>
      <c r="H13" s="173"/>
      <c r="I13" s="173"/>
      <c r="J13" s="174"/>
      <c r="K13" s="187"/>
      <c r="L13" s="175"/>
      <c r="M13" s="175"/>
      <c r="N13" s="175"/>
      <c r="O13" s="175"/>
      <c r="P13" s="175"/>
      <c r="Q13" s="174"/>
      <c r="R13" s="174"/>
      <c r="S13" s="174"/>
      <c r="T13" s="174"/>
      <c r="U13" s="174"/>
      <c r="V13" s="174"/>
      <c r="W13" s="174"/>
      <c r="X13" s="174"/>
      <c r="Y13" s="174" t="e">
        <f ca="1">SUM(Y14:Y16)</f>
        <v>#N/A</v>
      </c>
      <c r="Z13" s="174" t="e">
        <f>SUM(Z14:Z16)</f>
        <v>#REF!</v>
      </c>
      <c r="AA13" s="174">
        <f>SUM(AA14:AA16)</f>
        <v>348285</v>
      </c>
      <c r="AB13" s="174" t="e">
        <f ca="1">SUM(AB14:AB16)</f>
        <v>#N/A</v>
      </c>
      <c r="AC13" s="174" t="e">
        <f ca="1">SUM(AC14:AC16)</f>
        <v>#N/A</v>
      </c>
      <c r="AD13" s="192"/>
      <c r="AE13" s="31"/>
      <c r="AF13" s="214"/>
    </row>
    <row r="14" spans="1:32" ht="21" customHeight="1" x14ac:dyDescent="0.2">
      <c r="A14" s="3">
        <v>7</v>
      </c>
      <c r="B14" s="3" t="s">
        <v>168</v>
      </c>
      <c r="C14" s="3" t="s">
        <v>66</v>
      </c>
      <c r="D14" s="3" t="s">
        <v>204</v>
      </c>
      <c r="E14" s="110">
        <v>41487</v>
      </c>
      <c r="F14" s="111">
        <f t="shared" ca="1" si="0"/>
        <v>6</v>
      </c>
      <c r="G14" s="22">
        <f t="shared" si="1"/>
        <v>3745000</v>
      </c>
      <c r="H14" s="28" t="s">
        <v>211</v>
      </c>
      <c r="I14" s="28">
        <v>3</v>
      </c>
      <c r="J14" s="22">
        <f>SUMIFS(Sheet2!$C$1:$C$81,Sheet2!$A$1:$A$81,'Bang luong'!H14,Sheet2!$B$1:$B$81,'Bang luong'!I14)*1000</f>
        <v>7115500</v>
      </c>
      <c r="K14" s="77" t="e">
        <f>VLOOKUP(C14,CC!$C$5:$AJ$67,34,0)</f>
        <v>#N/A</v>
      </c>
      <c r="L14" s="22" t="e">
        <f t="shared" si="2"/>
        <v>#N/A</v>
      </c>
      <c r="M14" s="22" t="e">
        <f>VLOOKUP(C14,CC!$C$5:$AM$67,36,0)</f>
        <v>#N/A</v>
      </c>
      <c r="N14" s="22" t="e">
        <f>VLOOKUP(C14,CC!$C$5:$BS$67,69,0)</f>
        <v>#N/A</v>
      </c>
      <c r="O14" s="22" t="e">
        <f>VLOOKUP(C14,CC!$C$5:$BT$67,70,0)</f>
        <v>#N/A</v>
      </c>
      <c r="P14" s="22" t="e">
        <f>VLOOKUP(C14,CC!$C$5:$AM$67,37,0)</f>
        <v>#N/A</v>
      </c>
      <c r="Q14" s="22" t="e">
        <f>((J14/26)*K14)+(M14*(J14/26))+((N14/8)*1.5*(J14/26))+((O14/8)*2*J14/26)+(P14*3*(J14/26))</f>
        <v>#N/A</v>
      </c>
      <c r="R14" s="22"/>
      <c r="S14" s="22">
        <f ca="1">IF((F14-$S$3)&gt;0,F14%*J14,0)</f>
        <v>426930</v>
      </c>
      <c r="T14" s="22">
        <f ca="1">(100%-SUMIF('chuyên cần'!$C$6:$AP$31,'Bang luong'!C14,'chuyên cần'!$AP$7:$AP$31))*$T$3</f>
        <v>300000</v>
      </c>
      <c r="U14" s="22">
        <v>1000000</v>
      </c>
      <c r="V14" s="22">
        <v>500000</v>
      </c>
      <c r="W14" s="22"/>
      <c r="X14" s="22">
        <v>200000</v>
      </c>
      <c r="Y14" s="106" t="e">
        <f t="shared" ca="1" si="3"/>
        <v>#N/A</v>
      </c>
      <c r="Z14" s="106" t="e">
        <f>'ung luong'!#REF!</f>
        <v>#REF!</v>
      </c>
      <c r="AA14" s="106">
        <f t="shared" si="4"/>
        <v>348285</v>
      </c>
      <c r="AB14" s="106" t="e">
        <f t="shared" ca="1" si="5"/>
        <v>#N/A</v>
      </c>
      <c r="AC14" s="106" t="e">
        <f t="shared" ca="1" si="6"/>
        <v>#N/A</v>
      </c>
      <c r="AD14" s="193"/>
      <c r="AF14" s="31">
        <v>3317000</v>
      </c>
    </row>
    <row r="15" spans="1:32" ht="21" customHeight="1" x14ac:dyDescent="0.2">
      <c r="A15" s="3">
        <v>8</v>
      </c>
      <c r="B15" s="3" t="s">
        <v>169</v>
      </c>
      <c r="C15" s="3" t="s">
        <v>61</v>
      </c>
      <c r="D15" s="3" t="s">
        <v>205</v>
      </c>
      <c r="E15" s="110">
        <v>42114</v>
      </c>
      <c r="F15" s="111">
        <f t="shared" ca="1" si="0"/>
        <v>4</v>
      </c>
      <c r="G15" s="22">
        <f t="shared" si="1"/>
        <v>3745000</v>
      </c>
      <c r="H15" s="28" t="s">
        <v>211</v>
      </c>
      <c r="I15" s="28">
        <v>3</v>
      </c>
      <c r="J15" s="22">
        <f>SUMIFS(Sheet2!$C$1:$C$81,Sheet2!$A$1:$A$81,'Bang luong'!H15,Sheet2!$B$1:$B$81,'Bang luong'!I15)*1000</f>
        <v>7115500</v>
      </c>
      <c r="K15" s="77" t="e">
        <f>VLOOKUP(C15,CC!$C$5:$AJ$67,34,0)</f>
        <v>#N/A</v>
      </c>
      <c r="L15" s="22" t="e">
        <f t="shared" si="2"/>
        <v>#N/A</v>
      </c>
      <c r="M15" s="22" t="e">
        <f>VLOOKUP(C15,CC!$C$5:$AM$67,36,0)</f>
        <v>#N/A</v>
      </c>
      <c r="N15" s="22" t="e">
        <f>VLOOKUP(C15,CC!$C$5:$BS$67,69,0)</f>
        <v>#N/A</v>
      </c>
      <c r="O15" s="22" t="e">
        <f>VLOOKUP(C15,CC!$C$5:$BT$67,70,0)</f>
        <v>#N/A</v>
      </c>
      <c r="P15" s="22" t="e">
        <f>VLOOKUP(C15,CC!$C$5:$AM$67,37,0)</f>
        <v>#N/A</v>
      </c>
      <c r="Q15" s="22" t="e">
        <f>((J15/26)*K15)+(M15*(J15/26))+((N15/8)*1.5*(J15/26))+((O15/8)*2*J15/26)+(P15*3*(J15/26))</f>
        <v>#N/A</v>
      </c>
      <c r="R15" s="22"/>
      <c r="S15" s="22">
        <f ca="1">IF((F15-$S$3)&gt;0,F15%*J15,0)</f>
        <v>284620</v>
      </c>
      <c r="T15" s="22">
        <f ca="1">(100%-SUMIF('chuyên cần'!$C$6:$AP$31,'Bang luong'!C15,'chuyên cần'!$AP$7:$AP$31))*$T$3</f>
        <v>300000</v>
      </c>
      <c r="U15" s="22">
        <v>1000000</v>
      </c>
      <c r="V15" s="22">
        <v>500000</v>
      </c>
      <c r="W15" s="22"/>
      <c r="X15" s="22">
        <v>200000</v>
      </c>
      <c r="Y15" s="106" t="e">
        <f t="shared" ca="1" si="3"/>
        <v>#N/A</v>
      </c>
      <c r="Z15" s="106" t="e">
        <f>'ung luong'!#REF!</f>
        <v>#REF!</v>
      </c>
      <c r="AA15" s="106">
        <f t="shared" si="4"/>
        <v>0</v>
      </c>
      <c r="AB15" s="106" t="e">
        <f t="shared" ca="1" si="5"/>
        <v>#N/A</v>
      </c>
      <c r="AC15" s="106" t="e">
        <f t="shared" ca="1" si="6"/>
        <v>#N/A</v>
      </c>
      <c r="AD15" s="193"/>
    </row>
    <row r="16" spans="1:32" ht="21" customHeight="1" x14ac:dyDescent="0.2">
      <c r="A16" s="3">
        <v>9</v>
      </c>
      <c r="B16" s="3" t="s">
        <v>499</v>
      </c>
      <c r="C16" s="3" t="s">
        <v>547</v>
      </c>
      <c r="D16" s="3" t="s">
        <v>548</v>
      </c>
      <c r="E16" s="110">
        <v>42248</v>
      </c>
      <c r="F16" s="111">
        <f t="shared" ca="1" si="0"/>
        <v>4</v>
      </c>
      <c r="G16" s="22">
        <f t="shared" si="1"/>
        <v>3745000</v>
      </c>
      <c r="H16" s="28" t="s">
        <v>233</v>
      </c>
      <c r="I16" s="28">
        <v>1</v>
      </c>
      <c r="J16" s="22">
        <f>SUMIFS(Sheet2!$C$1:$C$81,Sheet2!$A$1:$A$81,'Bang luong'!H16,Sheet2!$B$1:$B$81,'Bang luong'!I16)*1000</f>
        <v>3745000</v>
      </c>
      <c r="K16" s="77" t="e">
        <f>VLOOKUP(C16,CC!$C$5:$AJ$67,34,0)</f>
        <v>#N/A</v>
      </c>
      <c r="L16" s="22" t="e">
        <f t="shared" si="2"/>
        <v>#N/A</v>
      </c>
      <c r="M16" s="22" t="e">
        <f>VLOOKUP(C16,CC!$C$5:$AM$67,36,0)</f>
        <v>#N/A</v>
      </c>
      <c r="N16" s="22" t="e">
        <f>VLOOKUP(C16,CC!$C$5:$BS$67,69,0)</f>
        <v>#N/A</v>
      </c>
      <c r="O16" s="22" t="e">
        <f>VLOOKUP(C16,CC!$C$5:$BT$67,70,0)</f>
        <v>#N/A</v>
      </c>
      <c r="P16" s="22" t="e">
        <f>VLOOKUP(C16,CC!$C$5:$AM$67,37,0)</f>
        <v>#N/A</v>
      </c>
      <c r="Q16" s="22" t="e">
        <f>((J16/26)*K16)+(M16*(J16/26))+((N16/8)*1.5*(J16/26))+((O16/8)*2*J16/26)+(P16*3*(J16/26))</f>
        <v>#N/A</v>
      </c>
      <c r="R16" s="22"/>
      <c r="S16" s="22">
        <f ca="1">IF((F16-$S$3)&gt;0,F16%*J16,0)</f>
        <v>149800</v>
      </c>
      <c r="T16" s="22">
        <f ca="1">(100%-SUMIF('chuyên cần'!$C$6:$AP$31,'Bang luong'!C16,'chuyên cần'!$AP$7:$AP$31))*$T$3</f>
        <v>300000</v>
      </c>
      <c r="U16" s="22">
        <v>500000</v>
      </c>
      <c r="V16" s="22">
        <v>500000</v>
      </c>
      <c r="W16" s="22"/>
      <c r="X16" s="22">
        <v>200000</v>
      </c>
      <c r="Y16" s="106" t="e">
        <f t="shared" ca="1" si="3"/>
        <v>#N/A</v>
      </c>
      <c r="Z16" s="106" t="e">
        <f>'ung luong'!#REF!</f>
        <v>#REF!</v>
      </c>
      <c r="AA16" s="106">
        <f t="shared" si="4"/>
        <v>0</v>
      </c>
      <c r="AB16" s="106" t="e">
        <f t="shared" ca="1" si="5"/>
        <v>#N/A</v>
      </c>
      <c r="AC16" s="106" t="e">
        <f t="shared" ca="1" si="6"/>
        <v>#N/A</v>
      </c>
      <c r="AD16" s="193"/>
    </row>
    <row r="17" spans="1:32" s="176" customFormat="1" ht="21" customHeight="1" x14ac:dyDescent="0.2">
      <c r="A17" s="171" t="s">
        <v>18</v>
      </c>
      <c r="B17" s="171"/>
      <c r="C17" s="171" t="s">
        <v>19</v>
      </c>
      <c r="D17" s="171"/>
      <c r="E17" s="171"/>
      <c r="F17" s="171"/>
      <c r="G17" s="172"/>
      <c r="H17" s="173"/>
      <c r="I17" s="173"/>
      <c r="J17" s="174"/>
      <c r="K17" s="187"/>
      <c r="L17" s="175"/>
      <c r="M17" s="175"/>
      <c r="N17" s="175"/>
      <c r="O17" s="175"/>
      <c r="P17" s="175"/>
      <c r="Q17" s="174"/>
      <c r="R17" s="174"/>
      <c r="S17" s="174"/>
      <c r="T17" s="174"/>
      <c r="U17" s="174"/>
      <c r="V17" s="174"/>
      <c r="W17" s="174"/>
      <c r="X17" s="174"/>
      <c r="Y17" s="174" t="e">
        <f ca="1">SUM(Y18:Y32)</f>
        <v>#N/A</v>
      </c>
      <c r="Z17" s="174" t="e">
        <f>SUM(Z18:Z32)</f>
        <v>#REF!</v>
      </c>
      <c r="AA17" s="174">
        <f>SUM(AA18:AA32)</f>
        <v>3155070</v>
      </c>
      <c r="AB17" s="174" t="e">
        <f ca="1">SUM(AB18:AB32)</f>
        <v>#N/A</v>
      </c>
      <c r="AC17" s="174" t="e">
        <f ca="1">SUM(AC18:AC32)</f>
        <v>#N/A</v>
      </c>
      <c r="AD17" s="192"/>
      <c r="AE17" s="31"/>
      <c r="AF17" s="214"/>
    </row>
    <row r="18" spans="1:32" ht="21" customHeight="1" x14ac:dyDescent="0.2">
      <c r="A18" s="3">
        <v>10</v>
      </c>
      <c r="B18" s="3" t="s">
        <v>170</v>
      </c>
      <c r="C18" s="3" t="s">
        <v>67</v>
      </c>
      <c r="D18" s="3" t="s">
        <v>550</v>
      </c>
      <c r="E18" s="110">
        <v>41108</v>
      </c>
      <c r="F18" s="111">
        <f t="shared" ca="1" si="0"/>
        <v>7</v>
      </c>
      <c r="G18" s="22">
        <f t="shared" si="1"/>
        <v>3745000</v>
      </c>
      <c r="H18" s="28" t="s">
        <v>233</v>
      </c>
      <c r="I18" s="28">
        <v>1</v>
      </c>
      <c r="J18" s="202">
        <f>SUMIFS(Sheet2!$C$1:$C$81,Sheet2!$A$1:$A$81,'Bang luong'!H18,Sheet2!$B$1:$B$81,'Bang luong'!I18)*1000</f>
        <v>3745000</v>
      </c>
      <c r="K18" s="77" t="e">
        <f>VLOOKUP(C18,CC!$C$5:$AJ$67,34,0)</f>
        <v>#N/A</v>
      </c>
      <c r="L18" s="22" t="e">
        <f t="shared" si="2"/>
        <v>#N/A</v>
      </c>
      <c r="M18" s="22" t="e">
        <f>VLOOKUP(C18,CC!$C$5:$AM$67,36,0)</f>
        <v>#N/A</v>
      </c>
      <c r="N18" s="22" t="e">
        <f>VLOOKUP(C18,CC!$C$5:$BS$67,69,0)</f>
        <v>#N/A</v>
      </c>
      <c r="O18" s="22" t="e">
        <f>VLOOKUP(C18,CC!$C$5:$BT$67,70,0)</f>
        <v>#N/A</v>
      </c>
      <c r="P18" s="22" t="e">
        <f>VLOOKUP(C18,CC!$C$5:$AM$67,37,0)</f>
        <v>#N/A</v>
      </c>
      <c r="Q18" s="22" t="e">
        <f>((J18/26)*K18)+(M18*(J18/26))+((N18/8)*1.5*(J18/26))+((O18/8)*2*J18/26)+(P18*3*(J18/26))</f>
        <v>#N/A</v>
      </c>
      <c r="R18" s="22" t="e">
        <f>VLOOKUP(C18,'Công tổng'!$C$53:$BY$67,66,0)-L18</f>
        <v>#N/A</v>
      </c>
      <c r="S18" s="22">
        <f t="shared" ref="S18:S32" ca="1" si="7">IF((F18-$S$3)&gt;0,F18%*J18,0)</f>
        <v>262150</v>
      </c>
      <c r="T18" s="22">
        <f ca="1">(100%-SUMIF('chuyên cần'!$C$6:$AP$31,'Bang luong'!C18,'chuyên cần'!$AP$7:$AP$31))*$T$3</f>
        <v>300000</v>
      </c>
      <c r="U18" s="22">
        <v>500000</v>
      </c>
      <c r="V18" s="22">
        <v>500000</v>
      </c>
      <c r="W18" s="22"/>
      <c r="X18" s="22">
        <v>200000</v>
      </c>
      <c r="Y18" s="106" t="e">
        <f ca="1">Q18+R18+S18+T18+U18+V18+W18+X18</f>
        <v>#N/A</v>
      </c>
      <c r="Z18" s="106">
        <f>'ung luong'!F128</f>
        <v>0</v>
      </c>
      <c r="AA18" s="106">
        <f t="shared" si="4"/>
        <v>351750</v>
      </c>
      <c r="AB18" s="106" t="e">
        <f t="shared" ca="1" si="5"/>
        <v>#N/A</v>
      </c>
      <c r="AC18" s="106" t="e">
        <f t="shared" ca="1" si="6"/>
        <v>#N/A</v>
      </c>
      <c r="AD18" s="193"/>
      <c r="AF18" s="31">
        <v>3350000</v>
      </c>
    </row>
    <row r="19" spans="1:32" ht="20.25" customHeight="1" x14ac:dyDescent="0.2">
      <c r="A19" s="3">
        <v>11</v>
      </c>
      <c r="B19" s="3" t="s">
        <v>171</v>
      </c>
      <c r="C19" s="3" t="s">
        <v>72</v>
      </c>
      <c r="D19" s="3" t="s">
        <v>551</v>
      </c>
      <c r="E19" s="110">
        <v>41611</v>
      </c>
      <c r="F19" s="111">
        <f t="shared" ca="1" si="0"/>
        <v>5</v>
      </c>
      <c r="G19" s="22">
        <f t="shared" si="1"/>
        <v>3745000</v>
      </c>
      <c r="H19" s="28" t="s">
        <v>211</v>
      </c>
      <c r="I19" s="28">
        <v>3</v>
      </c>
      <c r="J19" s="202">
        <f>SUMIFS(Sheet2!$C$1:$C$81,Sheet2!$A$1:$A$81,'Bang luong'!H19,Sheet2!$B$1:$B$81,'Bang luong'!I19)*1000</f>
        <v>7115500</v>
      </c>
      <c r="K19" s="77" t="e">
        <f>VLOOKUP(C19,CC!$C$5:$AJ$67,34,0)</f>
        <v>#N/A</v>
      </c>
      <c r="L19" s="22" t="e">
        <f t="shared" si="2"/>
        <v>#N/A</v>
      </c>
      <c r="M19" s="22" t="e">
        <f>VLOOKUP(C19,CC!$C$5:$AM$67,36,0)</f>
        <v>#N/A</v>
      </c>
      <c r="N19" s="22" t="e">
        <f>VLOOKUP(C19,CC!$C$5:$BS$67,69,0)</f>
        <v>#N/A</v>
      </c>
      <c r="O19" s="22" t="e">
        <f>VLOOKUP(C19,CC!$C$5:$BT$67,70,0)</f>
        <v>#N/A</v>
      </c>
      <c r="P19" s="22" t="e">
        <f>VLOOKUP(C19,CC!$C$5:$AM$67,37,0)</f>
        <v>#N/A</v>
      </c>
      <c r="Q19" s="22" t="e">
        <f t="shared" ref="Q19:Q47" si="8">((J19/26)*K19)+(M19*(J19/26))+((N19/8)*1.5*(J19/26))+((O19/8)*2*J19/26)+(P19*3*(J19/26))</f>
        <v>#N/A</v>
      </c>
      <c r="R19" s="22"/>
      <c r="S19" s="22">
        <f t="shared" ca="1" si="7"/>
        <v>355775</v>
      </c>
      <c r="T19" s="22"/>
      <c r="U19" s="22"/>
      <c r="V19" s="22"/>
      <c r="W19" s="22"/>
      <c r="X19" s="22"/>
      <c r="Y19" s="204" t="e">
        <f t="shared" ref="Y19:Y50" ca="1" si="9">Q19+R19+S19+T19+U19+V19+W19+X19</f>
        <v>#N/A</v>
      </c>
      <c r="Z19" s="106" t="e">
        <f>'ung luong'!#REF!</f>
        <v>#REF!</v>
      </c>
      <c r="AA19" s="106">
        <f t="shared" si="4"/>
        <v>351750</v>
      </c>
      <c r="AB19" s="106" t="e">
        <f t="shared" ca="1" si="5"/>
        <v>#N/A</v>
      </c>
      <c r="AC19" s="106" t="e">
        <f t="shared" ca="1" si="6"/>
        <v>#N/A</v>
      </c>
      <c r="AD19" s="193"/>
      <c r="AF19" s="31">
        <v>3350000</v>
      </c>
    </row>
    <row r="20" spans="1:32" ht="21" customHeight="1" x14ac:dyDescent="0.2">
      <c r="A20" s="3">
        <v>12</v>
      </c>
      <c r="B20" s="3" t="s">
        <v>173</v>
      </c>
      <c r="C20" s="3" t="s">
        <v>68</v>
      </c>
      <c r="D20" s="3" t="s">
        <v>206</v>
      </c>
      <c r="E20" s="110">
        <v>41739</v>
      </c>
      <c r="F20" s="111">
        <f t="shared" ca="1" si="0"/>
        <v>5</v>
      </c>
      <c r="G20" s="22">
        <f t="shared" si="1"/>
        <v>3745000</v>
      </c>
      <c r="H20" s="28" t="s">
        <v>233</v>
      </c>
      <c r="I20" s="28">
        <v>1</v>
      </c>
      <c r="J20" s="202">
        <f>SUMIFS(Sheet2!$C$1:$C$81,Sheet2!$A$1:$A$81,'Bang luong'!H20,Sheet2!$B$1:$B$81,'Bang luong'!I20)*1000</f>
        <v>3745000</v>
      </c>
      <c r="K20" s="77" t="e">
        <f>VLOOKUP(C20,CC!$C$5:$AJ$67,34,0)</f>
        <v>#N/A</v>
      </c>
      <c r="L20" s="22" t="e">
        <f t="shared" si="2"/>
        <v>#N/A</v>
      </c>
      <c r="M20" s="22" t="e">
        <f>VLOOKUP(C20,CC!$C$5:$AM$67,36,0)</f>
        <v>#N/A</v>
      </c>
      <c r="N20" s="22" t="e">
        <f>VLOOKUP(C20,CC!$C$5:$BS$67,69,0)</f>
        <v>#N/A</v>
      </c>
      <c r="O20" s="22" t="e">
        <f>VLOOKUP(C20,CC!$C$5:$BT$67,70,0)</f>
        <v>#N/A</v>
      </c>
      <c r="P20" s="22" t="e">
        <f>VLOOKUP(C20,CC!$C$5:$AM$67,37,0)</f>
        <v>#N/A</v>
      </c>
      <c r="Q20" s="22" t="e">
        <f t="shared" si="8"/>
        <v>#N/A</v>
      </c>
      <c r="R20" s="22" t="e">
        <f>VLOOKUP(C20,'Công tổng'!$C$53:$BY$67,66,0)-L20</f>
        <v>#N/A</v>
      </c>
      <c r="S20" s="22">
        <f t="shared" ca="1" si="7"/>
        <v>187250</v>
      </c>
      <c r="T20" s="22">
        <f ca="1">(100%-SUMIF('chuyên cần'!$C$6:$AP$31,'Bang luong'!C20,'chuyên cần'!$AP$7:$AP$31))*$T$3</f>
        <v>300000</v>
      </c>
      <c r="U20" s="22"/>
      <c r="V20" s="22"/>
      <c r="W20" s="22"/>
      <c r="X20" s="22"/>
      <c r="Y20" s="106" t="e">
        <f t="shared" ca="1" si="9"/>
        <v>#N/A</v>
      </c>
      <c r="Z20" s="106" t="e">
        <f>'ung luong'!#REF!</f>
        <v>#REF!</v>
      </c>
      <c r="AA20" s="106">
        <f t="shared" si="4"/>
        <v>351750</v>
      </c>
      <c r="AB20" s="106" t="e">
        <f t="shared" ca="1" si="5"/>
        <v>#N/A</v>
      </c>
      <c r="AC20" s="106" t="e">
        <f t="shared" ca="1" si="6"/>
        <v>#N/A</v>
      </c>
      <c r="AD20" s="193"/>
      <c r="AF20" s="31">
        <v>3350000</v>
      </c>
    </row>
    <row r="21" spans="1:32" ht="21" customHeight="1" x14ac:dyDescent="0.2">
      <c r="A21" s="3">
        <v>13</v>
      </c>
      <c r="B21" s="3" t="s">
        <v>174</v>
      </c>
      <c r="C21" s="3" t="s">
        <v>74</v>
      </c>
      <c r="D21" s="3" t="s">
        <v>206</v>
      </c>
      <c r="E21" s="110">
        <v>37257</v>
      </c>
      <c r="F21" s="111">
        <f t="shared" ca="1" si="0"/>
        <v>17</v>
      </c>
      <c r="G21" s="22">
        <f t="shared" si="1"/>
        <v>3745000</v>
      </c>
      <c r="H21" s="28" t="s">
        <v>233</v>
      </c>
      <c r="I21" s="28">
        <v>2</v>
      </c>
      <c r="J21" s="202">
        <f>SUMIFS(Sheet2!$C$1:$C$81,Sheet2!$A$1:$A$81,'Bang luong'!H21,Sheet2!$B$1:$B$81,'Bang luong'!I21)*1000</f>
        <v>4119500.0000000009</v>
      </c>
      <c r="K21" s="77">
        <f>VLOOKUP(C21,CC!$C$5:$AJ$67,34,0)</f>
        <v>26</v>
      </c>
      <c r="L21" s="22">
        <f t="shared" si="2"/>
        <v>4119500.0000000005</v>
      </c>
      <c r="M21" s="22">
        <f>VLOOKUP(C21,CC!$C$5:$AM$67,36,0)</f>
        <v>0</v>
      </c>
      <c r="N21" s="22">
        <f>VLOOKUP(C21,CC!$C$5:$BS$67,69,0)</f>
        <v>33.5</v>
      </c>
      <c r="O21" s="22">
        <f>VLOOKUP(C21,CC!$C$5:$BT$67,70,0)</f>
        <v>16</v>
      </c>
      <c r="P21" s="22">
        <f>VLOOKUP(C21,CC!$C$5:$AM$67,37,0)</f>
        <v>1</v>
      </c>
      <c r="Q21" s="22">
        <f t="shared" si="8"/>
        <v>6223811.899038462</v>
      </c>
      <c r="R21" s="22" t="e">
        <f>VLOOKUP(C21,'Công tổng'!$C$53:$BY$67,66,0)-L21</f>
        <v>#N/A</v>
      </c>
      <c r="S21" s="22">
        <f t="shared" ca="1" si="7"/>
        <v>700315.00000000023</v>
      </c>
      <c r="T21" s="22">
        <f ca="1">(100%-SUMIF('chuyên cần'!$C$6:$AP$31,'Bang luong'!C21,'chuyên cần'!$AP$7:$AP$31))*$T$3</f>
        <v>300000</v>
      </c>
      <c r="U21" s="22"/>
      <c r="V21" s="22"/>
      <c r="W21" s="22"/>
      <c r="X21" s="22"/>
      <c r="Y21" s="106" t="e">
        <f t="shared" ca="1" si="9"/>
        <v>#N/A</v>
      </c>
      <c r="Z21" s="106" t="e">
        <f>'ung luong'!#REF!</f>
        <v>#REF!</v>
      </c>
      <c r="AA21" s="106">
        <f t="shared" si="4"/>
        <v>351750</v>
      </c>
      <c r="AB21" s="106" t="e">
        <f t="shared" ca="1" si="5"/>
        <v>#N/A</v>
      </c>
      <c r="AC21" s="106" t="e">
        <f t="shared" ca="1" si="6"/>
        <v>#N/A</v>
      </c>
      <c r="AD21" s="193"/>
      <c r="AF21" s="31">
        <v>3350000</v>
      </c>
    </row>
    <row r="22" spans="1:32" ht="21" customHeight="1" x14ac:dyDescent="0.2">
      <c r="A22" s="3">
        <v>14</v>
      </c>
      <c r="B22" s="3" t="s">
        <v>175</v>
      </c>
      <c r="C22" s="3" t="s">
        <v>368</v>
      </c>
      <c r="D22" s="3" t="s">
        <v>206</v>
      </c>
      <c r="E22" s="110">
        <v>37622</v>
      </c>
      <c r="F22" s="111">
        <f t="shared" ca="1" si="0"/>
        <v>16</v>
      </c>
      <c r="G22" s="22">
        <f t="shared" si="1"/>
        <v>3745000</v>
      </c>
      <c r="H22" s="28" t="s">
        <v>233</v>
      </c>
      <c r="I22" s="28">
        <v>2</v>
      </c>
      <c r="J22" s="202">
        <f>SUMIFS(Sheet2!$C$1:$C$81,Sheet2!$A$1:$A$81,'Bang luong'!H22,Sheet2!$B$1:$B$81,'Bang luong'!I22)*1000</f>
        <v>4119500.0000000009</v>
      </c>
      <c r="K22" s="77" t="e">
        <f>VLOOKUP(C22,CC!$C$5:$AJ$67,34,0)</f>
        <v>#N/A</v>
      </c>
      <c r="L22" s="22" t="e">
        <f t="shared" si="2"/>
        <v>#N/A</v>
      </c>
      <c r="M22" s="22" t="e">
        <f>VLOOKUP(C22,CC!$C$5:$AM$67,36,0)</f>
        <v>#N/A</v>
      </c>
      <c r="N22" s="22" t="e">
        <f>VLOOKUP(C22,CC!$C$5:$BS$67,69,0)</f>
        <v>#N/A</v>
      </c>
      <c r="O22" s="22" t="e">
        <f>VLOOKUP(C22,CC!$C$5:$BT$67,70,0)</f>
        <v>#N/A</v>
      </c>
      <c r="P22" s="22" t="e">
        <f>VLOOKUP(C22,CC!$C$5:$AM$67,37,0)</f>
        <v>#N/A</v>
      </c>
      <c r="Q22" s="22" t="e">
        <f t="shared" si="8"/>
        <v>#N/A</v>
      </c>
      <c r="R22" s="22" t="e">
        <f>VLOOKUP(C22,'Công tổng'!$C$53:$BY$67,66,0)-L22</f>
        <v>#N/A</v>
      </c>
      <c r="S22" s="22">
        <f t="shared" ca="1" si="7"/>
        <v>659120.00000000012</v>
      </c>
      <c r="T22" s="22">
        <f ca="1">(100%-SUMIF('chuyên cần'!$C$6:$AP$31,'Bang luong'!C22,'chuyên cần'!$AP$7:$AP$31))*$T$3</f>
        <v>75000</v>
      </c>
      <c r="U22" s="22"/>
      <c r="V22" s="22"/>
      <c r="W22" s="22"/>
      <c r="X22" s="22"/>
      <c r="Y22" s="106" t="e">
        <f t="shared" ca="1" si="9"/>
        <v>#N/A</v>
      </c>
      <c r="Z22" s="106">
        <f>'ung luong'!F82</f>
        <v>3000000</v>
      </c>
      <c r="AA22" s="106">
        <f t="shared" si="4"/>
        <v>351750</v>
      </c>
      <c r="AB22" s="106" t="e">
        <f t="shared" ca="1" si="5"/>
        <v>#N/A</v>
      </c>
      <c r="AC22" s="106" t="e">
        <f t="shared" ca="1" si="6"/>
        <v>#N/A</v>
      </c>
      <c r="AD22" s="193"/>
      <c r="AF22" s="31">
        <v>3350000</v>
      </c>
    </row>
    <row r="23" spans="1:32" ht="21" customHeight="1" x14ac:dyDescent="0.2">
      <c r="A23" s="3">
        <v>15</v>
      </c>
      <c r="B23" s="3" t="s">
        <v>176</v>
      </c>
      <c r="C23" s="3" t="s">
        <v>69</v>
      </c>
      <c r="D23" s="3" t="s">
        <v>206</v>
      </c>
      <c r="E23" s="110">
        <v>40596</v>
      </c>
      <c r="F23" s="111">
        <f t="shared" ca="1" si="0"/>
        <v>8</v>
      </c>
      <c r="G23" s="22">
        <f t="shared" si="1"/>
        <v>3745000</v>
      </c>
      <c r="H23" s="28" t="s">
        <v>233</v>
      </c>
      <c r="I23" s="28">
        <v>1</v>
      </c>
      <c r="J23" s="22">
        <f>SUMIFS(Sheet2!$C$1:$C$81,Sheet2!$A$1:$A$81,'Bang luong'!H23,Sheet2!$B$1:$B$81,'Bang luong'!I23)*1000</f>
        <v>3745000</v>
      </c>
      <c r="K23" s="77" t="e">
        <f>VLOOKUP(C23,CC!$C$5:$AJ$67,34,0)</f>
        <v>#N/A</v>
      </c>
      <c r="L23" s="22" t="e">
        <f t="shared" si="2"/>
        <v>#N/A</v>
      </c>
      <c r="M23" s="22" t="e">
        <f>VLOOKUP(C23,CC!$C$5:$AM$67,36,0)</f>
        <v>#N/A</v>
      </c>
      <c r="N23" s="22" t="e">
        <f>VLOOKUP(C23,CC!$C$5:$BS$67,69,0)</f>
        <v>#N/A</v>
      </c>
      <c r="O23" s="22" t="e">
        <f>VLOOKUP(C23,CC!$C$5:$BT$67,70,0)</f>
        <v>#N/A</v>
      </c>
      <c r="P23" s="22" t="e">
        <f>VLOOKUP(C23,CC!$C$5:$AM$67,37,0)</f>
        <v>#N/A</v>
      </c>
      <c r="Q23" s="22" t="e">
        <f t="shared" si="8"/>
        <v>#N/A</v>
      </c>
      <c r="R23" s="22" t="e">
        <f>VLOOKUP(C23,'Công tổng'!$C$53:$BY$67,66,0)-L23</f>
        <v>#N/A</v>
      </c>
      <c r="S23" s="22">
        <f t="shared" ca="1" si="7"/>
        <v>299600</v>
      </c>
      <c r="T23" s="22">
        <f ca="1">(100%-SUMIF('chuyên cần'!$C$6:$AP$31,'Bang luong'!C23,'chuyên cần'!$AP$7:$AP$31))*$T$3</f>
        <v>300000</v>
      </c>
      <c r="U23" s="22"/>
      <c r="V23" s="22"/>
      <c r="W23" s="22"/>
      <c r="X23" s="22"/>
      <c r="Y23" s="106" t="e">
        <f t="shared" ca="1" si="9"/>
        <v>#N/A</v>
      </c>
      <c r="Z23" s="106" t="e">
        <f>'ung luong'!#REF!</f>
        <v>#REF!</v>
      </c>
      <c r="AA23" s="106">
        <f t="shared" si="4"/>
        <v>348285</v>
      </c>
      <c r="AB23" s="106" t="e">
        <f t="shared" ca="1" si="5"/>
        <v>#N/A</v>
      </c>
      <c r="AC23" s="106" t="e">
        <f t="shared" ca="1" si="6"/>
        <v>#N/A</v>
      </c>
      <c r="AD23" s="193"/>
      <c r="AF23" s="31">
        <v>3317000</v>
      </c>
    </row>
    <row r="24" spans="1:32" s="211" customFormat="1" ht="21" customHeight="1" x14ac:dyDescent="0.2">
      <c r="A24" s="198">
        <v>16</v>
      </c>
      <c r="B24" s="198" t="s">
        <v>177</v>
      </c>
      <c r="C24" s="198" t="s">
        <v>75</v>
      </c>
      <c r="D24" s="198" t="s">
        <v>206</v>
      </c>
      <c r="E24" s="207">
        <v>41321</v>
      </c>
      <c r="F24" s="208">
        <f t="shared" ca="1" si="0"/>
        <v>6</v>
      </c>
      <c r="G24" s="199">
        <f t="shared" ref="G24:G49" si="10">$G$3</f>
        <v>3745000</v>
      </c>
      <c r="H24" s="209" t="s">
        <v>233</v>
      </c>
      <c r="I24" s="209">
        <v>1</v>
      </c>
      <c r="J24" s="199">
        <f>SUMIFS(Sheet2!$C$1:$C$81,Sheet2!$A$1:$A$81,'Bang luong'!H24,Sheet2!$B$1:$B$81,'Bang luong'!I24)*1000</f>
        <v>3745000</v>
      </c>
      <c r="K24" s="200">
        <f>VLOOKUP(C24,CC!$C$5:$AJ$67,34,0)</f>
        <v>5</v>
      </c>
      <c r="L24" s="199">
        <f t="shared" si="2"/>
        <v>720192.30769230763</v>
      </c>
      <c r="M24" s="199">
        <f>VLOOKUP(C24,CC!$C$5:$AM$67,36,0)</f>
        <v>21</v>
      </c>
      <c r="N24" s="199">
        <f>VLOOKUP(C24,CC!$C$5:$BS$67,69,0)</f>
        <v>2</v>
      </c>
      <c r="O24" s="199">
        <f>VLOOKUP(C24,CC!$C$5:$BT$67,70,0)</f>
        <v>8</v>
      </c>
      <c r="P24" s="199">
        <f>VLOOKUP(C24,CC!$C$5:$AM$67,37,0)</f>
        <v>1</v>
      </c>
      <c r="Q24" s="199">
        <f t="shared" si="8"/>
        <v>4519206.7307692301</v>
      </c>
      <c r="R24" s="199" t="e">
        <f>VLOOKUP(C24,'Công tổng'!$C$53:$BY$67,66,0)-L24</f>
        <v>#N/A</v>
      </c>
      <c r="S24" s="199">
        <f t="shared" ca="1" si="7"/>
        <v>224700</v>
      </c>
      <c r="T24" s="199">
        <f ca="1">(100%-SUMIF('chuyên cần'!$C$6:$AP$31,'Bang luong'!C24,'chuyên cần'!$AP$7:$AP$31))*$T$3</f>
        <v>300000</v>
      </c>
      <c r="U24" s="199"/>
      <c r="V24" s="199"/>
      <c r="W24" s="199"/>
      <c r="X24" s="199"/>
      <c r="Y24" s="203" t="e">
        <f t="shared" ca="1" si="9"/>
        <v>#N/A</v>
      </c>
      <c r="Z24" s="203" t="e">
        <f>'ung luong'!#REF!</f>
        <v>#REF!</v>
      </c>
      <c r="AA24" s="203">
        <v>348000</v>
      </c>
      <c r="AB24" s="203" t="e">
        <f t="shared" ca="1" si="5"/>
        <v>#N/A</v>
      </c>
      <c r="AC24" s="203" t="e">
        <f t="shared" ca="1" si="6"/>
        <v>#N/A</v>
      </c>
      <c r="AD24" s="210"/>
      <c r="AE24" s="31"/>
      <c r="AF24" s="215">
        <v>3317000</v>
      </c>
    </row>
    <row r="25" spans="1:32" ht="21" customHeight="1" x14ac:dyDescent="0.2">
      <c r="A25" s="3">
        <v>17</v>
      </c>
      <c r="B25" s="3" t="s">
        <v>178</v>
      </c>
      <c r="C25" s="3" t="s">
        <v>76</v>
      </c>
      <c r="D25" s="3" t="s">
        <v>206</v>
      </c>
      <c r="E25" s="110">
        <v>41589</v>
      </c>
      <c r="F25" s="111">
        <f t="shared" ca="1" si="0"/>
        <v>5</v>
      </c>
      <c r="G25" s="22">
        <f t="shared" si="10"/>
        <v>3745000</v>
      </c>
      <c r="H25" s="28" t="s">
        <v>233</v>
      </c>
      <c r="I25" s="28">
        <v>1</v>
      </c>
      <c r="J25" s="22">
        <f>SUMIFS(Sheet2!$C$1:$C$81,Sheet2!$A$1:$A$81,'Bang luong'!H25,Sheet2!$B$1:$B$81,'Bang luong'!I25)*1000</f>
        <v>3745000</v>
      </c>
      <c r="K25" s="77" t="e">
        <f>VLOOKUP(C25,CC!$C$5:$AJ$67,34,0)</f>
        <v>#N/A</v>
      </c>
      <c r="L25" s="22" t="e">
        <f t="shared" si="2"/>
        <v>#N/A</v>
      </c>
      <c r="M25" s="22" t="e">
        <f>VLOOKUP(C25,CC!$C$5:$AM$67,36,0)</f>
        <v>#N/A</v>
      </c>
      <c r="N25" s="22" t="e">
        <f>VLOOKUP(C25,CC!$C$5:$BS$67,69,0)</f>
        <v>#N/A</v>
      </c>
      <c r="O25" s="22" t="e">
        <f>VLOOKUP(C25,CC!$C$5:$BT$67,70,0)</f>
        <v>#N/A</v>
      </c>
      <c r="P25" s="22" t="e">
        <f>VLOOKUP(C25,CC!$C$5:$AM$67,37,0)</f>
        <v>#N/A</v>
      </c>
      <c r="Q25" s="22" t="e">
        <f t="shared" si="8"/>
        <v>#N/A</v>
      </c>
      <c r="R25" s="22" t="e">
        <f>VLOOKUP(C25,'Công tổng'!$C$53:$BY$67,66,0)-L25</f>
        <v>#N/A</v>
      </c>
      <c r="S25" s="22">
        <f t="shared" ca="1" si="7"/>
        <v>187250</v>
      </c>
      <c r="T25" s="22">
        <f ca="1">(100%-SUMIF('chuyên cần'!$C$6:$AP$31,'Bang luong'!C25,'chuyên cần'!$AP$7:$AP$31))*$T$3</f>
        <v>300000</v>
      </c>
      <c r="U25" s="22"/>
      <c r="V25" s="22"/>
      <c r="W25" s="22"/>
      <c r="X25" s="22"/>
      <c r="Y25" s="106" t="e">
        <f t="shared" ca="1" si="9"/>
        <v>#N/A</v>
      </c>
      <c r="Z25" s="106" t="e">
        <f>'ung luong'!#REF!</f>
        <v>#REF!</v>
      </c>
      <c r="AA25" s="106">
        <f t="shared" si="4"/>
        <v>348285</v>
      </c>
      <c r="AB25" s="106" t="e">
        <f t="shared" ca="1" si="5"/>
        <v>#N/A</v>
      </c>
      <c r="AC25" s="106" t="e">
        <f t="shared" ca="1" si="6"/>
        <v>#N/A</v>
      </c>
      <c r="AD25" s="193"/>
      <c r="AF25" s="31">
        <v>3317000</v>
      </c>
    </row>
    <row r="26" spans="1:32" ht="21" customHeight="1" x14ac:dyDescent="0.2">
      <c r="A26" s="3">
        <v>18</v>
      </c>
      <c r="B26" s="3" t="s">
        <v>179</v>
      </c>
      <c r="C26" s="3" t="s">
        <v>70</v>
      </c>
      <c r="D26" s="3" t="s">
        <v>206</v>
      </c>
      <c r="E26" s="110">
        <v>38838</v>
      </c>
      <c r="F26" s="111">
        <f t="shared" ca="1" si="0"/>
        <v>13</v>
      </c>
      <c r="G26" s="22">
        <f t="shared" si="10"/>
        <v>3745000</v>
      </c>
      <c r="H26" s="28" t="s">
        <v>234</v>
      </c>
      <c r="I26" s="28">
        <v>4</v>
      </c>
      <c r="J26" s="22">
        <f>SUMIFS(Sheet2!$C$1:$C$81,Sheet2!$A$1:$A$81,'Bang luong'!H26,Sheet2!$B$1:$B$81,'Bang luong'!I26)*1000</f>
        <v>4868500</v>
      </c>
      <c r="K26" s="77">
        <f>VLOOKUP(C26,CC!$C$5:$AJ$67,34,0)</f>
        <v>26</v>
      </c>
      <c r="L26" s="22">
        <f t="shared" si="2"/>
        <v>4868500</v>
      </c>
      <c r="M26" s="22">
        <f>VLOOKUP(C26,CC!$C$5:$AM$67,36,0)</f>
        <v>0</v>
      </c>
      <c r="N26" s="22">
        <f>VLOOKUP(C26,CC!$C$5:$BS$67,69,0)</f>
        <v>24</v>
      </c>
      <c r="O26" s="22">
        <f>VLOOKUP(C26,CC!$C$5:$BT$67,70,0)</f>
        <v>16</v>
      </c>
      <c r="P26" s="22">
        <f>VLOOKUP(C26,CC!$C$5:$AM$67,37,0)</f>
        <v>1</v>
      </c>
      <c r="Q26" s="22">
        <f t="shared" si="8"/>
        <v>7021875</v>
      </c>
      <c r="R26" s="22"/>
      <c r="S26" s="22">
        <f t="shared" ca="1" si="7"/>
        <v>632905</v>
      </c>
      <c r="T26" s="22">
        <f ca="1">(100%-SUMIF('chuyên cần'!$C$6:$AP$31,'Bang luong'!C26,'chuyên cần'!$AP$7:$AP$31))*$T$3</f>
        <v>300000</v>
      </c>
      <c r="U26" s="22"/>
      <c r="V26" s="22"/>
      <c r="W26" s="22"/>
      <c r="X26" s="22"/>
      <c r="Y26" s="106">
        <f t="shared" ca="1" si="9"/>
        <v>7954780</v>
      </c>
      <c r="Z26" s="106" t="e">
        <f>'ung luong'!#REF!</f>
        <v>#REF!</v>
      </c>
      <c r="AA26" s="106">
        <f t="shared" si="4"/>
        <v>351750</v>
      </c>
      <c r="AB26" s="106" t="e">
        <f t="shared" ca="1" si="5"/>
        <v>#REF!</v>
      </c>
      <c r="AC26" s="106" t="e">
        <f t="shared" ca="1" si="6"/>
        <v>#REF!</v>
      </c>
      <c r="AD26" s="193"/>
      <c r="AF26" s="31">
        <v>3350000</v>
      </c>
    </row>
    <row r="27" spans="1:32" ht="21" customHeight="1" x14ac:dyDescent="0.2">
      <c r="A27" s="3">
        <v>19</v>
      </c>
      <c r="B27" s="3" t="s">
        <v>180</v>
      </c>
      <c r="C27" s="3" t="s">
        <v>77</v>
      </c>
      <c r="D27" s="3" t="s">
        <v>206</v>
      </c>
      <c r="E27" s="110">
        <v>41852</v>
      </c>
      <c r="F27" s="111">
        <f t="shared" ca="1" si="0"/>
        <v>5</v>
      </c>
      <c r="G27" s="22">
        <f t="shared" si="10"/>
        <v>3745000</v>
      </c>
      <c r="H27" s="28" t="s">
        <v>233</v>
      </c>
      <c r="I27" s="28">
        <v>1</v>
      </c>
      <c r="J27" s="22">
        <f>SUMIFS(Sheet2!$C$1:$C$81,Sheet2!$A$1:$A$81,'Bang luong'!H27,Sheet2!$B$1:$B$81,'Bang luong'!I27)*1000</f>
        <v>3745000</v>
      </c>
      <c r="K27" s="77">
        <f>VLOOKUP(C27,CC!$C$5:$AJ$67,34,0)</f>
        <v>25</v>
      </c>
      <c r="L27" s="22">
        <f t="shared" si="2"/>
        <v>3600961.5384615385</v>
      </c>
      <c r="M27" s="22">
        <f>VLOOKUP(C27,CC!$C$5:$AM$67,36,0)</f>
        <v>0</v>
      </c>
      <c r="N27" s="22">
        <f>VLOOKUP(C27,CC!$C$5:$BS$67,69,0)</f>
        <v>30</v>
      </c>
      <c r="O27" s="22">
        <f>VLOOKUP(C27,CC!$C$5:$BT$67,70,0)</f>
        <v>24</v>
      </c>
      <c r="P27" s="22">
        <f>VLOOKUP(C27,CC!$C$5:$AM$67,37,0)</f>
        <v>1</v>
      </c>
      <c r="Q27" s="22">
        <f t="shared" si="8"/>
        <v>5707524.038461539</v>
      </c>
      <c r="R27" s="22" t="e">
        <f>VLOOKUP(C27,'Công tổng'!$C$53:$BY$67,66,0)-L27</f>
        <v>#N/A</v>
      </c>
      <c r="S27" s="22">
        <f t="shared" ca="1" si="7"/>
        <v>187250</v>
      </c>
      <c r="T27" s="22">
        <f ca="1">(100%-SUMIF('chuyên cần'!$C$6:$AP$31,'Bang luong'!C27,'chuyên cần'!$AP$7:$AP$31))*$T$3</f>
        <v>300000</v>
      </c>
      <c r="U27" s="22"/>
      <c r="V27" s="22"/>
      <c r="W27" s="22"/>
      <c r="X27" s="22"/>
      <c r="Y27" s="204" t="e">
        <f t="shared" ca="1" si="9"/>
        <v>#N/A</v>
      </c>
      <c r="Z27" s="106">
        <f>'ung luong'!F107</f>
        <v>4000000</v>
      </c>
      <c r="AA27" s="106">
        <f t="shared" si="4"/>
        <v>0</v>
      </c>
      <c r="AB27" s="106" t="e">
        <f t="shared" ca="1" si="5"/>
        <v>#N/A</v>
      </c>
      <c r="AC27" s="106" t="e">
        <f t="shared" ca="1" si="6"/>
        <v>#N/A</v>
      </c>
      <c r="AD27" s="193"/>
    </row>
    <row r="28" spans="1:32" ht="21" customHeight="1" x14ac:dyDescent="0.2">
      <c r="A28" s="3">
        <v>20</v>
      </c>
      <c r="B28" s="3" t="s">
        <v>181</v>
      </c>
      <c r="C28" s="3" t="s">
        <v>89</v>
      </c>
      <c r="D28" s="3" t="s">
        <v>206</v>
      </c>
      <c r="E28" s="110">
        <v>41640</v>
      </c>
      <c r="F28" s="111">
        <f t="shared" ca="1" si="0"/>
        <v>5</v>
      </c>
      <c r="G28" s="22">
        <f t="shared" si="10"/>
        <v>3745000</v>
      </c>
      <c r="H28" s="28" t="s">
        <v>233</v>
      </c>
      <c r="I28" s="28">
        <v>1</v>
      </c>
      <c r="J28" s="22">
        <f>SUMIFS(Sheet2!$C$1:$C$81,Sheet2!$A$1:$A$81,'Bang luong'!H28,Sheet2!$B$1:$B$81,'Bang luong'!I28)*1000</f>
        <v>3745000</v>
      </c>
      <c r="K28" s="77" t="e">
        <f>VLOOKUP(C28,CC!$C$5:$AJ$67,34,0)</f>
        <v>#N/A</v>
      </c>
      <c r="L28" s="22" t="e">
        <f t="shared" si="2"/>
        <v>#N/A</v>
      </c>
      <c r="M28" s="22" t="e">
        <f>VLOOKUP(C28,CC!$C$5:$AM$67,36,0)</f>
        <v>#N/A</v>
      </c>
      <c r="N28" s="22" t="e">
        <f>VLOOKUP(C28,CC!$C$5:$BS$67,69,0)</f>
        <v>#N/A</v>
      </c>
      <c r="O28" s="22" t="e">
        <f>VLOOKUP(C28,CC!$C$5:$BT$67,70,0)</f>
        <v>#N/A</v>
      </c>
      <c r="P28" s="22" t="e">
        <f>VLOOKUP(C28,CC!$C$5:$AM$67,37,0)</f>
        <v>#N/A</v>
      </c>
      <c r="Q28" s="22" t="e">
        <f t="shared" si="8"/>
        <v>#N/A</v>
      </c>
      <c r="R28" s="22" t="e">
        <f>VLOOKUP(C28,'Công tổng'!$C$53:$BY$67,66,0)-L28</f>
        <v>#N/A</v>
      </c>
      <c r="S28" s="22">
        <f t="shared" ca="1" si="7"/>
        <v>187250</v>
      </c>
      <c r="T28" s="22">
        <f ca="1">(100%-SUMIF('chuyên cần'!$C$6:$AP$31,'Bang luong'!C28,'chuyên cần'!$AP$7:$AP$31))*$T$3</f>
        <v>300000</v>
      </c>
      <c r="U28" s="22"/>
      <c r="V28" s="22"/>
      <c r="W28" s="22"/>
      <c r="X28" s="22"/>
      <c r="Y28" s="106" t="e">
        <f t="shared" ca="1" si="9"/>
        <v>#N/A</v>
      </c>
      <c r="Z28" s="106" t="e">
        <f>'ung luong'!#REF!</f>
        <v>#REF!</v>
      </c>
      <c r="AA28" s="106">
        <f t="shared" si="4"/>
        <v>0</v>
      </c>
      <c r="AB28" s="106" t="e">
        <f t="shared" ca="1" si="5"/>
        <v>#N/A</v>
      </c>
      <c r="AC28" s="106" t="e">
        <f t="shared" ca="1" si="6"/>
        <v>#N/A</v>
      </c>
      <c r="AD28" s="193"/>
    </row>
    <row r="29" spans="1:32" ht="21" customHeight="1" x14ac:dyDescent="0.2">
      <c r="A29" s="3">
        <v>21</v>
      </c>
      <c r="B29" s="3" t="s">
        <v>182</v>
      </c>
      <c r="C29" s="3" t="s">
        <v>71</v>
      </c>
      <c r="D29" s="3" t="s">
        <v>206</v>
      </c>
      <c r="E29" s="110">
        <v>41997</v>
      </c>
      <c r="F29" s="111">
        <f t="shared" ca="1" si="0"/>
        <v>4</v>
      </c>
      <c r="G29" s="22">
        <f t="shared" si="10"/>
        <v>3745000</v>
      </c>
      <c r="H29" s="28" t="s">
        <v>233</v>
      </c>
      <c r="I29" s="28">
        <v>1</v>
      </c>
      <c r="J29" s="22">
        <f>SUMIFS(Sheet2!$C$1:$C$81,Sheet2!$A$1:$A$81,'Bang luong'!H29,Sheet2!$B$1:$B$81,'Bang luong'!I29)*1000</f>
        <v>3745000</v>
      </c>
      <c r="K29" s="77">
        <f>VLOOKUP(C29,CC!$C$5:$AJ$67,34,0)</f>
        <v>26</v>
      </c>
      <c r="L29" s="22">
        <f t="shared" si="2"/>
        <v>3745000</v>
      </c>
      <c r="M29" s="22">
        <f>VLOOKUP(C29,CC!$C$5:$AM$67,36,0)</f>
        <v>0</v>
      </c>
      <c r="N29" s="22">
        <f>VLOOKUP(C29,CC!$C$5:$BS$67,69,0)</f>
        <v>80</v>
      </c>
      <c r="O29" s="22">
        <f>VLOOKUP(C29,CC!$C$5:$BT$67,70,0)</f>
        <v>16</v>
      </c>
      <c r="P29" s="22">
        <f>VLOOKUP(C29,CC!$C$5:$AM$67,37,0)</f>
        <v>1</v>
      </c>
      <c r="Q29" s="22">
        <f t="shared" si="8"/>
        <v>6913846.153846154</v>
      </c>
      <c r="R29" s="22">
        <f>VLOOKUP(C29,'Công tổng'!$C$53:$BY$67,66,0)-L29</f>
        <v>-3745000</v>
      </c>
      <c r="S29" s="22">
        <f t="shared" ca="1" si="7"/>
        <v>149800</v>
      </c>
      <c r="T29" s="22">
        <f ca="1">(100%-SUMIF('chuyên cần'!$C$6:$AP$31,'Bang luong'!C29,'chuyên cần'!$AP$7:$AP$31))*$T$3</f>
        <v>300000</v>
      </c>
      <c r="U29" s="22"/>
      <c r="V29" s="22"/>
      <c r="W29" s="22"/>
      <c r="X29" s="22"/>
      <c r="Y29" s="106">
        <f t="shared" ca="1" si="9"/>
        <v>3618646.153846154</v>
      </c>
      <c r="Z29" s="106">
        <f>'ung luong'!F103</f>
        <v>0</v>
      </c>
      <c r="AA29" s="106">
        <f t="shared" si="4"/>
        <v>0</v>
      </c>
      <c r="AB29" s="106">
        <f t="shared" ca="1" si="5"/>
        <v>3618646.153846154</v>
      </c>
      <c r="AC29" s="106">
        <f t="shared" ca="1" si="6"/>
        <v>3619000</v>
      </c>
      <c r="AD29" s="193"/>
    </row>
    <row r="30" spans="1:32" ht="21" customHeight="1" x14ac:dyDescent="0.2">
      <c r="A30" s="3">
        <v>22</v>
      </c>
      <c r="B30" s="3" t="s">
        <v>183</v>
      </c>
      <c r="C30" s="3" t="s">
        <v>87</v>
      </c>
      <c r="D30" s="3" t="s">
        <v>206</v>
      </c>
      <c r="E30" s="110">
        <v>41786</v>
      </c>
      <c r="F30" s="111">
        <f t="shared" ca="1" si="0"/>
        <v>5</v>
      </c>
      <c r="G30" s="22">
        <f t="shared" si="10"/>
        <v>3745000</v>
      </c>
      <c r="H30" s="28" t="s">
        <v>236</v>
      </c>
      <c r="I30" s="28">
        <v>1</v>
      </c>
      <c r="J30" s="22">
        <f>SUMIFS(Sheet2!$C$1:$C$81,Sheet2!$A$1:$A$81,'Bang luong'!H30,Sheet2!$B$1:$B$81,'Bang luong'!I30)*1000</f>
        <v>3745000</v>
      </c>
      <c r="K30" s="77">
        <f>VLOOKUP(C30,CC!$C$5:$AJ$67,34,0)</f>
        <v>22</v>
      </c>
      <c r="L30" s="22">
        <f t="shared" si="2"/>
        <v>3168846.1538461535</v>
      </c>
      <c r="M30" s="22">
        <f>VLOOKUP(C30,CC!$C$5:$AM$67,36,0)</f>
        <v>4</v>
      </c>
      <c r="N30" s="22">
        <f>VLOOKUP(C30,CC!$C$5:$BS$67,69,0)</f>
        <v>25</v>
      </c>
      <c r="O30" s="22">
        <f>VLOOKUP(C30,CC!$C$5:$BT$67,70,0)</f>
        <v>16</v>
      </c>
      <c r="P30" s="22">
        <f>VLOOKUP(C30,CC!$C$5:$AM$67,37,0)</f>
        <v>1</v>
      </c>
      <c r="Q30" s="22">
        <f t="shared" si="8"/>
        <v>5428449.519230769</v>
      </c>
      <c r="R30" s="22">
        <f>VLOOKUP(C30,'Công tổng'!$C$53:$BY$67,66,0)-L30</f>
        <v>-3168846.1538461535</v>
      </c>
      <c r="S30" s="22">
        <f t="shared" ca="1" si="7"/>
        <v>187250</v>
      </c>
      <c r="T30" s="22">
        <f ca="1">(100%-SUMIF('chuyên cần'!$C$6:$AP$31,'Bang luong'!C30,'chuyên cần'!$AP$7:$AP$31))*$T$3</f>
        <v>300000</v>
      </c>
      <c r="U30" s="22"/>
      <c r="V30" s="22"/>
      <c r="W30" s="22"/>
      <c r="X30" s="22"/>
      <c r="Y30" s="106">
        <f t="shared" ca="1" si="9"/>
        <v>2746853.3653846155</v>
      </c>
      <c r="Z30" s="106">
        <f>'ung luong'!F99</f>
        <v>4000000</v>
      </c>
      <c r="AA30" s="106">
        <f t="shared" si="4"/>
        <v>0</v>
      </c>
      <c r="AB30" s="106">
        <f t="shared" ca="1" si="5"/>
        <v>-1253146.6346153845</v>
      </c>
      <c r="AC30" s="106">
        <f t="shared" ca="1" si="6"/>
        <v>-1253000</v>
      </c>
      <c r="AD30" s="193"/>
    </row>
    <row r="31" spans="1:32" ht="21" customHeight="1" x14ac:dyDescent="0.2">
      <c r="A31" s="3">
        <v>23</v>
      </c>
      <c r="B31" s="3" t="s">
        <v>184</v>
      </c>
      <c r="C31" s="3" t="s">
        <v>88</v>
      </c>
      <c r="D31" s="3" t="s">
        <v>206</v>
      </c>
      <c r="E31" s="110">
        <v>41876</v>
      </c>
      <c r="F31" s="111">
        <f t="shared" ca="1" si="0"/>
        <v>5</v>
      </c>
      <c r="G31" s="22">
        <f t="shared" si="10"/>
        <v>3745000</v>
      </c>
      <c r="H31" s="28" t="s">
        <v>236</v>
      </c>
      <c r="I31" s="28">
        <v>1</v>
      </c>
      <c r="J31" s="22">
        <f>SUMIFS(Sheet2!$C$1:$C$81,Sheet2!$A$1:$A$81,'Bang luong'!H31,Sheet2!$B$1:$B$81,'Bang luong'!I31)*1000</f>
        <v>3745000</v>
      </c>
      <c r="K31" s="77">
        <f>VLOOKUP(C31,CC!$C$5:$AJ$67,34,0)</f>
        <v>24</v>
      </c>
      <c r="L31" s="22">
        <f t="shared" si="2"/>
        <v>3456923.076923077</v>
      </c>
      <c r="M31" s="22">
        <f>VLOOKUP(C31,CC!$C$5:$AM$67,36,0)</f>
        <v>2</v>
      </c>
      <c r="N31" s="22">
        <f>VLOOKUP(C31,CC!$C$5:$BS$67,69,0)</f>
        <v>5.5</v>
      </c>
      <c r="O31" s="22">
        <f>VLOOKUP(C31,CC!$C$5:$BT$67,70,0)</f>
        <v>0</v>
      </c>
      <c r="P31" s="22">
        <f>VLOOKUP(C31,CC!$C$5:$AM$67,37,0)</f>
        <v>1</v>
      </c>
      <c r="Q31" s="22">
        <f t="shared" si="8"/>
        <v>4325655.048076923</v>
      </c>
      <c r="R31" s="22">
        <f>VLOOKUP(C31,'Công tổng'!$C$53:$BY$67,66,0)-L31</f>
        <v>-3456923.076923077</v>
      </c>
      <c r="S31" s="22">
        <f t="shared" ca="1" si="7"/>
        <v>187250</v>
      </c>
      <c r="T31" s="22">
        <f ca="1">(100%-SUMIF('chuyên cần'!$C$6:$AP$31,'Bang luong'!C31,'chuyên cần'!$AP$7:$AP$31))*$T$3</f>
        <v>300000</v>
      </c>
      <c r="U31" s="22"/>
      <c r="V31" s="22"/>
      <c r="W31" s="22"/>
      <c r="X31" s="22"/>
      <c r="Y31" s="106">
        <f t="shared" ca="1" si="9"/>
        <v>1355981.971153846</v>
      </c>
      <c r="Z31" s="106">
        <f>'ung luong'!F100</f>
        <v>3500000</v>
      </c>
      <c r="AA31" s="106">
        <f t="shared" si="4"/>
        <v>0</v>
      </c>
      <c r="AB31" s="106">
        <f t="shared" ca="1" si="5"/>
        <v>-2144018.028846154</v>
      </c>
      <c r="AC31" s="106">
        <f t="shared" ca="1" si="6"/>
        <v>-2144000</v>
      </c>
      <c r="AD31" s="193"/>
    </row>
    <row r="32" spans="1:32" ht="21" customHeight="1" x14ac:dyDescent="0.2">
      <c r="A32" s="3">
        <v>24</v>
      </c>
      <c r="B32" s="3" t="s">
        <v>185</v>
      </c>
      <c r="C32" s="3" t="s">
        <v>81</v>
      </c>
      <c r="D32" s="3" t="s">
        <v>206</v>
      </c>
      <c r="E32" s="110">
        <v>42201</v>
      </c>
      <c r="F32" s="111">
        <f t="shared" ca="1" si="0"/>
        <v>4</v>
      </c>
      <c r="G32" s="22">
        <f t="shared" si="10"/>
        <v>3745000</v>
      </c>
      <c r="H32" s="28" t="s">
        <v>236</v>
      </c>
      <c r="I32" s="28">
        <v>1</v>
      </c>
      <c r="J32" s="22">
        <f>SUMIFS(Sheet2!$C$1:$C$81,Sheet2!$A$1:$A$81,'Bang luong'!H32,Sheet2!$B$1:$B$81,'Bang luong'!I32)*1000</f>
        <v>3745000</v>
      </c>
      <c r="K32" s="77" t="e">
        <f>VLOOKUP(C32,CC!$C$5:$AJ$67,34,0)</f>
        <v>#N/A</v>
      </c>
      <c r="L32" s="22" t="e">
        <f t="shared" si="2"/>
        <v>#N/A</v>
      </c>
      <c r="M32" s="22" t="e">
        <f>VLOOKUP(C32,CC!$C$5:$AM$67,36,0)</f>
        <v>#N/A</v>
      </c>
      <c r="N32" s="22" t="e">
        <f>VLOOKUP(C32,CC!$C$5:$BS$67,69,0)</f>
        <v>#N/A</v>
      </c>
      <c r="O32" s="22" t="e">
        <f>VLOOKUP(C32,CC!$C$5:$BT$67,70,0)</f>
        <v>#N/A</v>
      </c>
      <c r="P32" s="22" t="e">
        <f>VLOOKUP(C32,CC!$C$5:$AM$67,37,0)</f>
        <v>#N/A</v>
      </c>
      <c r="Q32" s="22" t="e">
        <f t="shared" si="8"/>
        <v>#N/A</v>
      </c>
      <c r="R32" s="22" t="e">
        <f>VLOOKUP(C32,'Công tổng'!$C$53:$BY$67,66,0)-L32</f>
        <v>#N/A</v>
      </c>
      <c r="S32" s="22">
        <f t="shared" ca="1" si="7"/>
        <v>149800</v>
      </c>
      <c r="T32" s="22">
        <f ca="1">(100%-SUMIF('chuyên cần'!$C$6:$AP$31,'Bang luong'!C32,'chuyên cần'!$AP$7:$AP$31))*$T$3</f>
        <v>300000</v>
      </c>
      <c r="U32" s="22"/>
      <c r="V32" s="22"/>
      <c r="W32" s="22"/>
      <c r="X32" s="22"/>
      <c r="Y32" s="106" t="e">
        <f t="shared" ca="1" si="9"/>
        <v>#N/A</v>
      </c>
      <c r="Z32" s="106" t="e">
        <f>'ung luong'!#REF!</f>
        <v>#REF!</v>
      </c>
      <c r="AA32" s="106">
        <f t="shared" si="4"/>
        <v>0</v>
      </c>
      <c r="AB32" s="106" t="e">
        <f t="shared" ca="1" si="5"/>
        <v>#N/A</v>
      </c>
      <c r="AC32" s="106" t="e">
        <f t="shared" ca="1" si="6"/>
        <v>#N/A</v>
      </c>
      <c r="AD32" s="193"/>
    </row>
    <row r="33" spans="1:32" s="176" customFormat="1" ht="21" customHeight="1" x14ac:dyDescent="0.2">
      <c r="A33" s="171"/>
      <c r="B33" s="171"/>
      <c r="C33" s="171"/>
      <c r="D33" s="171"/>
      <c r="E33" s="171"/>
      <c r="F33" s="171"/>
      <c r="G33" s="172"/>
      <c r="H33" s="173"/>
      <c r="I33" s="173"/>
      <c r="J33" s="174"/>
      <c r="K33" s="187"/>
      <c r="L33" s="175"/>
      <c r="M33" s="175"/>
      <c r="N33" s="175"/>
      <c r="O33" s="175"/>
      <c r="P33" s="175"/>
      <c r="Q33" s="174"/>
      <c r="R33" s="174"/>
      <c r="S33" s="174"/>
      <c r="T33" s="172"/>
      <c r="U33" s="174"/>
      <c r="V33" s="174"/>
      <c r="W33" s="174"/>
      <c r="X33" s="174"/>
      <c r="Y33" s="174" t="e">
        <f ca="1">SUM(Y34:Y49)</f>
        <v>#N/A</v>
      </c>
      <c r="Z33" s="174" t="e">
        <f>SUM(Z34:Z49)</f>
        <v>#REF!</v>
      </c>
      <c r="AA33" s="174">
        <f>SUM(AA34:AA49)</f>
        <v>1393140</v>
      </c>
      <c r="AB33" s="174" t="e">
        <f ca="1">SUM(AB34:AB49)</f>
        <v>#N/A</v>
      </c>
      <c r="AC33" s="174" t="e">
        <f ca="1">SUM(AC34:AC49)</f>
        <v>#N/A</v>
      </c>
      <c r="AD33" s="192"/>
      <c r="AE33" s="31"/>
      <c r="AF33" s="214"/>
    </row>
    <row r="34" spans="1:32" ht="21" customHeight="1" x14ac:dyDescent="0.2">
      <c r="A34" s="3">
        <v>25</v>
      </c>
      <c r="B34" s="3" t="s">
        <v>186</v>
      </c>
      <c r="C34" s="3" t="s">
        <v>83</v>
      </c>
      <c r="D34" s="3" t="s">
        <v>207</v>
      </c>
      <c r="E34" s="110">
        <v>40462</v>
      </c>
      <c r="F34" s="111">
        <f t="shared" ca="1" si="0"/>
        <v>9</v>
      </c>
      <c r="G34" s="22">
        <f t="shared" si="10"/>
        <v>3745000</v>
      </c>
      <c r="H34" s="28" t="s">
        <v>236</v>
      </c>
      <c r="I34" s="28">
        <v>1</v>
      </c>
      <c r="J34" s="22">
        <f>SUMIFS(Sheet2!$C$1:$C$81,Sheet2!$A$1:$A$81,'Bang luong'!H34,Sheet2!$B$1:$B$81,'Bang luong'!I34)*1000</f>
        <v>3745000</v>
      </c>
      <c r="K34" s="77" t="e">
        <f>VLOOKUP(C34,CC!$C$5:$AJ$67,34,0)</f>
        <v>#N/A</v>
      </c>
      <c r="L34" s="22" t="e">
        <f t="shared" si="2"/>
        <v>#N/A</v>
      </c>
      <c r="M34" s="22" t="e">
        <f>VLOOKUP(C34,CC!$C$5:$AM$67,36,0)</f>
        <v>#N/A</v>
      </c>
      <c r="N34" s="22" t="e">
        <f>VLOOKUP(C34,CC!$C$5:$BS$67,69,0)</f>
        <v>#N/A</v>
      </c>
      <c r="O34" s="22" t="e">
        <f>VLOOKUP(C34,CC!$C$5:$BT$67,70,0)</f>
        <v>#N/A</v>
      </c>
      <c r="P34" s="22" t="e">
        <f>VLOOKUP(C34,CC!$C$5:$AM$67,37,0)</f>
        <v>#N/A</v>
      </c>
      <c r="Q34" s="22" t="e">
        <f t="shared" si="8"/>
        <v>#N/A</v>
      </c>
      <c r="R34" s="22" t="e">
        <f>VLOOKUP(C34,'Công tổng'!$C$53:$BY$67,66,0)-L34</f>
        <v>#N/A</v>
      </c>
      <c r="S34" s="22">
        <f t="shared" ref="S34:S47" ca="1" si="11">IF((F34-$S$3)&gt;0,F34%*J34,0)</f>
        <v>337050</v>
      </c>
      <c r="T34" s="22">
        <f ca="1">(100%-SUMIF('chuyên cần'!$C$6:$AP$31,'Bang luong'!C34,'chuyên cần'!$AP$7:$AP$31))*$T$3</f>
        <v>300000</v>
      </c>
      <c r="U34" s="22"/>
      <c r="V34" s="22"/>
      <c r="W34" s="22"/>
      <c r="X34" s="22"/>
      <c r="Y34" s="106" t="e">
        <f t="shared" ca="1" si="9"/>
        <v>#N/A</v>
      </c>
      <c r="Z34" s="106" t="e">
        <f>'ung luong'!#REF!</f>
        <v>#REF!</v>
      </c>
      <c r="AA34" s="106">
        <f t="shared" si="4"/>
        <v>348285</v>
      </c>
      <c r="AB34" s="106" t="e">
        <f t="shared" ca="1" si="5"/>
        <v>#N/A</v>
      </c>
      <c r="AC34" s="106" t="e">
        <f t="shared" ca="1" si="6"/>
        <v>#N/A</v>
      </c>
      <c r="AD34" s="193"/>
      <c r="AF34" s="31">
        <v>3317000</v>
      </c>
    </row>
    <row r="35" spans="1:32" ht="21" customHeight="1" x14ac:dyDescent="0.2">
      <c r="A35" s="3">
        <v>26</v>
      </c>
      <c r="B35" s="3" t="s">
        <v>187</v>
      </c>
      <c r="C35" s="3" t="s">
        <v>84</v>
      </c>
      <c r="D35" s="3" t="s">
        <v>207</v>
      </c>
      <c r="E35" s="110">
        <v>40596</v>
      </c>
      <c r="F35" s="111">
        <f t="shared" ca="1" si="0"/>
        <v>8</v>
      </c>
      <c r="G35" s="22">
        <f t="shared" si="10"/>
        <v>3745000</v>
      </c>
      <c r="H35" s="28" t="s">
        <v>236</v>
      </c>
      <c r="I35" s="28">
        <v>1</v>
      </c>
      <c r="J35" s="22">
        <f>SUMIFS(Sheet2!$C$1:$C$81,Sheet2!$A$1:$A$81,'Bang luong'!H35,Sheet2!$B$1:$B$81,'Bang luong'!I35)*1000</f>
        <v>3745000</v>
      </c>
      <c r="K35" s="77" t="e">
        <f>VLOOKUP(C35,CC!$C$5:$AJ$67,34,0)</f>
        <v>#N/A</v>
      </c>
      <c r="L35" s="22" t="e">
        <f t="shared" si="2"/>
        <v>#N/A</v>
      </c>
      <c r="M35" s="22" t="e">
        <f>VLOOKUP(C35,CC!$C$5:$AM$67,36,0)</f>
        <v>#N/A</v>
      </c>
      <c r="N35" s="22" t="e">
        <f>VLOOKUP(C35,CC!$C$5:$BS$67,69,0)</f>
        <v>#N/A</v>
      </c>
      <c r="O35" s="22" t="e">
        <f>VLOOKUP(C35,CC!$C$5:$BT$67,70,0)</f>
        <v>#N/A</v>
      </c>
      <c r="P35" s="22" t="e">
        <f>VLOOKUP(C35,CC!$C$5:$AM$67,37,0)</f>
        <v>#N/A</v>
      </c>
      <c r="Q35" s="22" t="e">
        <f t="shared" si="8"/>
        <v>#N/A</v>
      </c>
      <c r="R35" s="22" t="e">
        <f>VLOOKUP(C35,'Công tổng'!$C$53:$BY$67,66,0)-L35</f>
        <v>#N/A</v>
      </c>
      <c r="S35" s="22">
        <f t="shared" ca="1" si="11"/>
        <v>299600</v>
      </c>
      <c r="T35" s="22">
        <f ca="1">(100%-SUMIF('chuyên cần'!$C$6:$AP$31,'Bang luong'!C35,'chuyên cần'!$AP$7:$AP$31))*$T$3</f>
        <v>300000</v>
      </c>
      <c r="U35" s="22"/>
      <c r="V35" s="22"/>
      <c r="W35" s="22"/>
      <c r="X35" s="22"/>
      <c r="Y35" s="106" t="e">
        <f t="shared" ca="1" si="9"/>
        <v>#N/A</v>
      </c>
      <c r="Z35" s="106" t="e">
        <f>'ung luong'!#REF!</f>
        <v>#REF!</v>
      </c>
      <c r="AA35" s="106">
        <f t="shared" si="4"/>
        <v>348285</v>
      </c>
      <c r="AB35" s="106" t="e">
        <f t="shared" ca="1" si="5"/>
        <v>#N/A</v>
      </c>
      <c r="AC35" s="106" t="e">
        <f t="shared" ca="1" si="6"/>
        <v>#N/A</v>
      </c>
      <c r="AD35" s="193"/>
      <c r="AF35" s="31">
        <v>3317000</v>
      </c>
    </row>
    <row r="36" spans="1:32" ht="21" customHeight="1" x14ac:dyDescent="0.2">
      <c r="A36" s="3">
        <v>27</v>
      </c>
      <c r="B36" s="3" t="s">
        <v>188</v>
      </c>
      <c r="C36" s="3" t="s">
        <v>85</v>
      </c>
      <c r="D36" s="3" t="s">
        <v>207</v>
      </c>
      <c r="E36" s="110">
        <v>41682</v>
      </c>
      <c r="F36" s="111">
        <f t="shared" ca="1" si="0"/>
        <v>5</v>
      </c>
      <c r="G36" s="22">
        <f t="shared" si="10"/>
        <v>3745000</v>
      </c>
      <c r="H36" s="28" t="s">
        <v>236</v>
      </c>
      <c r="I36" s="28">
        <v>1</v>
      </c>
      <c r="J36" s="22">
        <f>SUMIFS(Sheet2!$C$1:$C$81,Sheet2!$A$1:$A$81,'Bang luong'!H36,Sheet2!$B$1:$B$81,'Bang luong'!I36)*1000</f>
        <v>3745000</v>
      </c>
      <c r="K36" s="77" t="e">
        <f>VLOOKUP(C36,CC!$C$5:$AJ$67,34,0)</f>
        <v>#N/A</v>
      </c>
      <c r="L36" s="22" t="e">
        <f t="shared" si="2"/>
        <v>#N/A</v>
      </c>
      <c r="M36" s="22" t="e">
        <f>VLOOKUP(C36,CC!$C$5:$AM$67,36,0)</f>
        <v>#N/A</v>
      </c>
      <c r="N36" s="22" t="e">
        <f>VLOOKUP(C36,CC!$C$5:$BS$67,69,0)</f>
        <v>#N/A</v>
      </c>
      <c r="O36" s="22" t="e">
        <f>VLOOKUP(C36,CC!$C$5:$BT$67,70,0)</f>
        <v>#N/A</v>
      </c>
      <c r="P36" s="22" t="e">
        <f>VLOOKUP(C36,CC!$C$5:$AM$67,37,0)</f>
        <v>#N/A</v>
      </c>
      <c r="Q36" s="22" t="e">
        <f t="shared" si="8"/>
        <v>#N/A</v>
      </c>
      <c r="R36" s="22" t="e">
        <f>VLOOKUP(C36,'Công tổng'!$C$53:$BY$67,66,0)-L36</f>
        <v>#N/A</v>
      </c>
      <c r="S36" s="22">
        <f t="shared" ca="1" si="11"/>
        <v>187250</v>
      </c>
      <c r="T36" s="22">
        <f ca="1">(100%-SUMIF('chuyên cần'!$C$6:$AP$31,'Bang luong'!C36,'chuyên cần'!$AP$7:$AP$31))*$T$3</f>
        <v>300000</v>
      </c>
      <c r="U36" s="22"/>
      <c r="V36" s="22"/>
      <c r="W36" s="22"/>
      <c r="X36" s="22"/>
      <c r="Y36" s="203" t="e">
        <f t="shared" ca="1" si="9"/>
        <v>#N/A</v>
      </c>
      <c r="Z36" s="106" t="e">
        <f>'ung luong'!#REF!</f>
        <v>#REF!</v>
      </c>
      <c r="AA36" s="106">
        <f t="shared" si="4"/>
        <v>0</v>
      </c>
      <c r="AB36" s="106" t="e">
        <f t="shared" ca="1" si="5"/>
        <v>#N/A</v>
      </c>
      <c r="AC36" s="106" t="e">
        <f t="shared" ca="1" si="6"/>
        <v>#N/A</v>
      </c>
      <c r="AD36" s="193"/>
    </row>
    <row r="37" spans="1:32" ht="21" customHeight="1" x14ac:dyDescent="0.2">
      <c r="A37" s="3">
        <v>28</v>
      </c>
      <c r="B37" s="3" t="s">
        <v>189</v>
      </c>
      <c r="C37" s="3" t="s">
        <v>239</v>
      </c>
      <c r="D37" s="3" t="s">
        <v>207</v>
      </c>
      <c r="E37" s="110">
        <v>41706</v>
      </c>
      <c r="F37" s="111">
        <f t="shared" ca="1" si="0"/>
        <v>5</v>
      </c>
      <c r="G37" s="22">
        <f t="shared" si="10"/>
        <v>3745000</v>
      </c>
      <c r="H37" s="28" t="s">
        <v>236</v>
      </c>
      <c r="I37" s="28">
        <v>1</v>
      </c>
      <c r="J37" s="22">
        <f>SUMIFS(Sheet2!$C$1:$C$81,Sheet2!$A$1:$A$81,'Bang luong'!H37,Sheet2!$B$1:$B$81,'Bang luong'!I37)*1000</f>
        <v>3745000</v>
      </c>
      <c r="K37" s="77">
        <f>VLOOKUP(C37,CC!$C$5:$AJ$67,34,0)</f>
        <v>24</v>
      </c>
      <c r="L37" s="22">
        <f t="shared" si="2"/>
        <v>3456923.076923077</v>
      </c>
      <c r="M37" s="22">
        <f>VLOOKUP(C37,CC!$C$5:$AM$67,36,0)</f>
        <v>2</v>
      </c>
      <c r="N37" s="22">
        <f>VLOOKUP(C37,CC!$C$5:$BS$67,69,0)</f>
        <v>0</v>
      </c>
      <c r="O37" s="22">
        <f>VLOOKUP(C37,CC!$C$5:$BT$67,70,0)</f>
        <v>16</v>
      </c>
      <c r="P37" s="22">
        <f>VLOOKUP(C37,CC!$C$5:$AM$67,37,0)</f>
        <v>1</v>
      </c>
      <c r="Q37" s="22">
        <f t="shared" si="8"/>
        <v>4753269.230769231</v>
      </c>
      <c r="R37" s="22" t="e">
        <f>VLOOKUP(C37,'Công tổng'!$C$53:$BY$67,66,0)-L37</f>
        <v>#N/A</v>
      </c>
      <c r="S37" s="22">
        <f t="shared" ca="1" si="11"/>
        <v>187250</v>
      </c>
      <c r="T37" s="22">
        <f ca="1">(100%-SUMIF('chuyên cần'!$C$6:$AP$31,'Bang luong'!C37,'chuyên cần'!$AP$7:$AP$31))*$T$3</f>
        <v>300000</v>
      </c>
      <c r="U37" s="22"/>
      <c r="V37" s="22"/>
      <c r="W37" s="22"/>
      <c r="X37" s="22"/>
      <c r="Y37" s="106" t="e">
        <f t="shared" ca="1" si="9"/>
        <v>#N/A</v>
      </c>
      <c r="Z37" s="106">
        <f>'ung luong'!F126</f>
        <v>3000000</v>
      </c>
      <c r="AA37" s="106">
        <f t="shared" si="4"/>
        <v>0</v>
      </c>
      <c r="AB37" s="106" t="e">
        <f t="shared" ca="1" si="5"/>
        <v>#N/A</v>
      </c>
      <c r="AC37" s="106" t="e">
        <f t="shared" ca="1" si="6"/>
        <v>#N/A</v>
      </c>
      <c r="AD37" s="193"/>
    </row>
    <row r="38" spans="1:32" ht="21" customHeight="1" x14ac:dyDescent="0.2">
      <c r="A38" s="3">
        <v>29</v>
      </c>
      <c r="B38" s="3" t="s">
        <v>190</v>
      </c>
      <c r="C38" s="3" t="s">
        <v>86</v>
      </c>
      <c r="D38" s="3" t="s">
        <v>207</v>
      </c>
      <c r="E38" s="110">
        <v>41786</v>
      </c>
      <c r="F38" s="111">
        <f t="shared" ca="1" si="0"/>
        <v>5</v>
      </c>
      <c r="G38" s="22">
        <f t="shared" si="10"/>
        <v>3745000</v>
      </c>
      <c r="H38" s="28" t="s">
        <v>236</v>
      </c>
      <c r="I38" s="28">
        <v>1</v>
      </c>
      <c r="J38" s="22">
        <f>SUMIFS(Sheet2!$C$1:$C$81,Sheet2!$A$1:$A$81,'Bang luong'!H38,Sheet2!$B$1:$B$81,'Bang luong'!I38)*1000</f>
        <v>3745000</v>
      </c>
      <c r="K38" s="77">
        <f>VLOOKUP(C38,CC!$C$5:$AJ$67,34,0)</f>
        <v>24</v>
      </c>
      <c r="L38" s="22">
        <f t="shared" si="2"/>
        <v>3456923.076923077</v>
      </c>
      <c r="M38" s="22">
        <f>VLOOKUP(C38,CC!$C$5:$AM$67,36,0)</f>
        <v>0.5</v>
      </c>
      <c r="N38" s="22">
        <f>VLOOKUP(C38,CC!$C$5:$BS$67,69,0)</f>
        <v>161.5</v>
      </c>
      <c r="O38" s="22">
        <f>VLOOKUP(C38,CC!$C$5:$BT$67,70,0)</f>
        <v>24</v>
      </c>
      <c r="P38" s="22">
        <f>VLOOKUP(C38,CC!$C$5:$AM$67,37,0)</f>
        <v>0</v>
      </c>
      <c r="Q38" s="22">
        <f t="shared" si="8"/>
        <v>8754837.740384616</v>
      </c>
      <c r="R38" s="22" t="e">
        <f>VLOOKUP(C38,'Công tổng'!$C$53:$BY$67,66,0)-L38</f>
        <v>#N/A</v>
      </c>
      <c r="S38" s="22">
        <f t="shared" ca="1" si="11"/>
        <v>187250</v>
      </c>
      <c r="T38" s="22">
        <f ca="1">(100%-SUMIF('chuyên cần'!$C$6:$AP$31,'Bang luong'!C38,'chuyên cần'!$AP$7:$AP$31))*$T$3</f>
        <v>300000</v>
      </c>
      <c r="U38" s="22"/>
      <c r="V38" s="22"/>
      <c r="W38" s="22"/>
      <c r="X38" s="22"/>
      <c r="Y38" s="106" t="e">
        <f t="shared" ca="1" si="9"/>
        <v>#N/A</v>
      </c>
      <c r="Z38" s="106" t="e">
        <f>'ung luong'!#REF!</f>
        <v>#REF!</v>
      </c>
      <c r="AA38" s="106">
        <f t="shared" si="4"/>
        <v>0</v>
      </c>
      <c r="AB38" s="106" t="e">
        <f t="shared" ca="1" si="5"/>
        <v>#N/A</v>
      </c>
      <c r="AC38" s="106" t="e">
        <f t="shared" ca="1" si="6"/>
        <v>#N/A</v>
      </c>
      <c r="AD38" s="193"/>
    </row>
    <row r="39" spans="1:32" ht="21" customHeight="1" x14ac:dyDescent="0.2">
      <c r="A39" s="3">
        <v>30</v>
      </c>
      <c r="B39" s="3" t="s">
        <v>191</v>
      </c>
      <c r="C39" s="3" t="s">
        <v>90</v>
      </c>
      <c r="D39" s="3" t="s">
        <v>207</v>
      </c>
      <c r="E39" s="110">
        <v>41956</v>
      </c>
      <c r="F39" s="111">
        <f t="shared" ca="1" si="0"/>
        <v>4</v>
      </c>
      <c r="G39" s="22">
        <f t="shared" si="10"/>
        <v>3745000</v>
      </c>
      <c r="H39" s="28" t="s">
        <v>236</v>
      </c>
      <c r="I39" s="28">
        <v>1</v>
      </c>
      <c r="J39" s="22">
        <f>SUMIFS(Sheet2!$C$1:$C$81,Sheet2!$A$1:$A$81,'Bang luong'!H39,Sheet2!$B$1:$B$81,'Bang luong'!I39)*1000</f>
        <v>3745000</v>
      </c>
      <c r="K39" s="77" t="e">
        <f>VLOOKUP(C39,CC!$C$5:$AJ$67,34,0)</f>
        <v>#N/A</v>
      </c>
      <c r="L39" s="22" t="e">
        <f t="shared" si="2"/>
        <v>#N/A</v>
      </c>
      <c r="M39" s="22" t="e">
        <f>VLOOKUP(C39,CC!$C$5:$AM$67,36,0)</f>
        <v>#N/A</v>
      </c>
      <c r="N39" s="22" t="e">
        <f>VLOOKUP(C39,CC!$C$5:$BS$67,69,0)</f>
        <v>#N/A</v>
      </c>
      <c r="O39" s="22" t="e">
        <f>VLOOKUP(C39,CC!$C$5:$BT$67,70,0)</f>
        <v>#N/A</v>
      </c>
      <c r="P39" s="22" t="e">
        <f>VLOOKUP(C39,CC!$C$5:$AM$67,37,0)</f>
        <v>#N/A</v>
      </c>
      <c r="Q39" s="22" t="e">
        <f t="shared" si="8"/>
        <v>#N/A</v>
      </c>
      <c r="R39" s="22" t="e">
        <f>VLOOKUP(C39,'Công tổng'!$C$53:$BY$67,66,0)-L39</f>
        <v>#N/A</v>
      </c>
      <c r="S39" s="22">
        <f t="shared" ca="1" si="11"/>
        <v>149800</v>
      </c>
      <c r="T39" s="22">
        <f ca="1">(100%-SUMIF('chuyên cần'!$C$6:$AP$31,'Bang luong'!C39,'chuyên cần'!$AP$7:$AP$31))*$T$3</f>
        <v>300000</v>
      </c>
      <c r="U39" s="22"/>
      <c r="V39" s="22"/>
      <c r="W39" s="22"/>
      <c r="X39" s="22"/>
      <c r="Y39" s="106" t="e">
        <f t="shared" ca="1" si="9"/>
        <v>#N/A</v>
      </c>
      <c r="Z39" s="106" t="e">
        <f>'ung luong'!#REF!</f>
        <v>#REF!</v>
      </c>
      <c r="AA39" s="106">
        <f t="shared" si="4"/>
        <v>0</v>
      </c>
      <c r="AB39" s="106" t="e">
        <f t="shared" ca="1" si="5"/>
        <v>#N/A</v>
      </c>
      <c r="AC39" s="106" t="e">
        <f t="shared" ca="1" si="6"/>
        <v>#N/A</v>
      </c>
      <c r="AD39" s="193"/>
    </row>
    <row r="40" spans="1:32" ht="21" customHeight="1" x14ac:dyDescent="0.2">
      <c r="A40" s="3">
        <v>31</v>
      </c>
      <c r="B40" s="3" t="s">
        <v>192</v>
      </c>
      <c r="C40" s="3" t="s">
        <v>91</v>
      </c>
      <c r="D40" s="3" t="s">
        <v>207</v>
      </c>
      <c r="E40" s="110">
        <v>41967</v>
      </c>
      <c r="F40" s="111">
        <f t="shared" ca="1" si="0"/>
        <v>4</v>
      </c>
      <c r="G40" s="22">
        <f t="shared" si="10"/>
        <v>3745000</v>
      </c>
      <c r="H40" s="28" t="s">
        <v>236</v>
      </c>
      <c r="I40" s="28">
        <v>1</v>
      </c>
      <c r="J40" s="22">
        <f>SUMIFS(Sheet2!$C$1:$C$81,Sheet2!$A$1:$A$81,'Bang luong'!H40,Sheet2!$B$1:$B$81,'Bang luong'!I40)*1000</f>
        <v>3745000</v>
      </c>
      <c r="K40" s="77">
        <f>VLOOKUP(C40,CC!$C$5:$AJ$67,34,0)</f>
        <v>25</v>
      </c>
      <c r="L40" s="22">
        <f t="shared" si="2"/>
        <v>3600961.5384615385</v>
      </c>
      <c r="M40" s="22">
        <f>VLOOKUP(C40,CC!$C$5:$AM$67,36,0)</f>
        <v>0</v>
      </c>
      <c r="N40" s="22">
        <f>VLOOKUP(C40,CC!$C$5:$BS$67,69,0)</f>
        <v>21</v>
      </c>
      <c r="O40" s="22">
        <f>VLOOKUP(C40,CC!$C$5:$BT$67,70,0)</f>
        <v>16</v>
      </c>
      <c r="P40" s="22">
        <f>VLOOKUP(C40,CC!$C$5:$AM$67,37,0)</f>
        <v>1</v>
      </c>
      <c r="Q40" s="22">
        <f t="shared" si="8"/>
        <v>5176382.211538462</v>
      </c>
      <c r="R40" s="22">
        <f>VLOOKUP(C40,'Công tổng'!$C$53:$BY$67,66,0)-L40</f>
        <v>-3600961.5384615385</v>
      </c>
      <c r="S40" s="22">
        <f t="shared" ca="1" si="11"/>
        <v>149800</v>
      </c>
      <c r="T40" s="22">
        <f ca="1">(100%-SUMIF('chuyên cần'!$C$6:$AP$31,'Bang luong'!C40,'chuyên cần'!$AP$7:$AP$31))*$T$3</f>
        <v>0</v>
      </c>
      <c r="U40" s="22"/>
      <c r="V40" s="22"/>
      <c r="W40" s="22"/>
      <c r="X40" s="22"/>
      <c r="Y40" s="106">
        <f t="shared" ca="1" si="9"/>
        <v>1725220.6730769235</v>
      </c>
      <c r="Z40" s="106">
        <f>'ung luong'!F91</f>
        <v>4000000</v>
      </c>
      <c r="AA40" s="106">
        <f t="shared" si="4"/>
        <v>0</v>
      </c>
      <c r="AB40" s="106">
        <f t="shared" ca="1" si="5"/>
        <v>-2274779.3269230765</v>
      </c>
      <c r="AC40" s="106">
        <f t="shared" ca="1" si="6"/>
        <v>-2275000</v>
      </c>
      <c r="AD40" s="193"/>
    </row>
    <row r="41" spans="1:32" ht="21" customHeight="1" x14ac:dyDescent="0.2">
      <c r="A41" s="3">
        <v>32</v>
      </c>
      <c r="B41" s="3" t="s">
        <v>194</v>
      </c>
      <c r="C41" s="3" t="s">
        <v>240</v>
      </c>
      <c r="D41" s="3" t="s">
        <v>207</v>
      </c>
      <c r="E41" s="110">
        <v>42065</v>
      </c>
      <c r="F41" s="111">
        <f t="shared" ca="1" si="0"/>
        <v>4</v>
      </c>
      <c r="G41" s="22">
        <f t="shared" si="10"/>
        <v>3745000</v>
      </c>
      <c r="H41" s="28" t="s">
        <v>236</v>
      </c>
      <c r="I41" s="28">
        <v>1</v>
      </c>
      <c r="J41" s="22">
        <f>SUMIFS(Sheet2!$C$1:$C$81,Sheet2!$A$1:$A$81,'Bang luong'!H41,Sheet2!$B$1:$B$81,'Bang luong'!I41)*1000</f>
        <v>3745000</v>
      </c>
      <c r="K41" s="77" t="e">
        <f>VLOOKUP(C41,CC!$C$5:$AJ$67,34,0)</f>
        <v>#N/A</v>
      </c>
      <c r="L41" s="22" t="e">
        <f t="shared" si="2"/>
        <v>#N/A</v>
      </c>
      <c r="M41" s="22" t="e">
        <f>VLOOKUP(C41,CC!$C$5:$AM$67,36,0)</f>
        <v>#N/A</v>
      </c>
      <c r="N41" s="22" t="e">
        <f>VLOOKUP(C41,CC!$C$5:$BS$67,69,0)</f>
        <v>#N/A</v>
      </c>
      <c r="O41" s="22" t="e">
        <f>VLOOKUP(C41,CC!$C$5:$BT$67,70,0)</f>
        <v>#N/A</v>
      </c>
      <c r="P41" s="22" t="e">
        <f>VLOOKUP(C41,CC!$C$5:$AM$67,37,0)</f>
        <v>#N/A</v>
      </c>
      <c r="Q41" s="22" t="e">
        <f t="shared" si="8"/>
        <v>#N/A</v>
      </c>
      <c r="R41" s="22" t="e">
        <f>VLOOKUP(C41,'Công tổng'!$C$53:$BY$67,66,0)-L41</f>
        <v>#N/A</v>
      </c>
      <c r="S41" s="22">
        <f t="shared" ca="1" si="11"/>
        <v>149800</v>
      </c>
      <c r="T41" s="22">
        <f ca="1">(100%-SUMIF('chuyên cần'!$C$6:$AP$31,'Bang luong'!C41,'chuyên cần'!$AP$7:$AP$31))*$T$3</f>
        <v>300000</v>
      </c>
      <c r="U41" s="22"/>
      <c r="V41" s="22"/>
      <c r="W41" s="22"/>
      <c r="X41" s="22"/>
      <c r="Y41" s="106" t="e">
        <f t="shared" ca="1" si="9"/>
        <v>#N/A</v>
      </c>
      <c r="Z41" s="106">
        <f>'ung luong'!F74</f>
        <v>4000000</v>
      </c>
      <c r="AA41" s="106">
        <f t="shared" si="4"/>
        <v>0</v>
      </c>
      <c r="AB41" s="106" t="e">
        <f t="shared" ca="1" si="5"/>
        <v>#N/A</v>
      </c>
      <c r="AC41" s="106" t="e">
        <f t="shared" ca="1" si="6"/>
        <v>#N/A</v>
      </c>
      <c r="AD41" s="193"/>
    </row>
    <row r="42" spans="1:32" ht="21" customHeight="1" x14ac:dyDescent="0.2">
      <c r="A42" s="3">
        <v>33</v>
      </c>
      <c r="B42" s="3" t="s">
        <v>195</v>
      </c>
      <c r="C42" s="3" t="s">
        <v>369</v>
      </c>
      <c r="D42" s="3" t="s">
        <v>207</v>
      </c>
      <c r="E42" s="110">
        <v>42066</v>
      </c>
      <c r="F42" s="111">
        <f t="shared" ca="1" si="0"/>
        <v>4</v>
      </c>
      <c r="G42" s="22">
        <f t="shared" si="10"/>
        <v>3745000</v>
      </c>
      <c r="H42" s="28" t="s">
        <v>236</v>
      </c>
      <c r="I42" s="28">
        <v>1</v>
      </c>
      <c r="J42" s="22">
        <f>SUMIFS(Sheet2!$C$1:$C$81,Sheet2!$A$1:$A$81,'Bang luong'!H42,Sheet2!$B$1:$B$81,'Bang luong'!I42)*1000</f>
        <v>3745000</v>
      </c>
      <c r="K42" s="77">
        <f>VLOOKUP(C42,CC!$C$5:$AJ$67,34,0)</f>
        <v>25</v>
      </c>
      <c r="L42" s="22">
        <f t="shared" si="2"/>
        <v>3600961.5384615385</v>
      </c>
      <c r="M42" s="22">
        <f>VLOOKUP(C42,CC!$C$5:$AM$67,36,0)</f>
        <v>1</v>
      </c>
      <c r="N42" s="22">
        <f>VLOOKUP(C42,CC!$C$5:$BS$67,69,0)</f>
        <v>24</v>
      </c>
      <c r="O42" s="22">
        <f>VLOOKUP(C42,CC!$C$5:$BT$67,70,0)</f>
        <v>16</v>
      </c>
      <c r="P42" s="22">
        <f>VLOOKUP(C42,CC!$C$5:$AM$67,37,0)</f>
        <v>1</v>
      </c>
      <c r="Q42" s="22">
        <f t="shared" si="8"/>
        <v>5401442.307692308</v>
      </c>
      <c r="R42" s="22">
        <f>VLOOKUP(C42,'Công tổng'!$C$53:$BY$67,66,0)-L42</f>
        <v>-3600961.5384615385</v>
      </c>
      <c r="S42" s="22">
        <f t="shared" ca="1" si="11"/>
        <v>149800</v>
      </c>
      <c r="T42" s="22">
        <f ca="1">(100%-SUMIF('chuyên cần'!$C$6:$AP$31,'Bang luong'!C42,'chuyên cần'!$AP$7:$AP$31))*$T$3</f>
        <v>300000</v>
      </c>
      <c r="U42" s="22"/>
      <c r="V42" s="22"/>
      <c r="W42" s="22"/>
      <c r="X42" s="22"/>
      <c r="Y42" s="203">
        <f t="shared" ca="1" si="9"/>
        <v>2250280.7692307695</v>
      </c>
      <c r="Z42" s="106" t="e">
        <f>'ung luong'!#REF!</f>
        <v>#REF!</v>
      </c>
      <c r="AA42" s="106">
        <f t="shared" si="4"/>
        <v>0</v>
      </c>
      <c r="AB42" s="106" t="e">
        <f t="shared" ca="1" si="5"/>
        <v>#REF!</v>
      </c>
      <c r="AC42" s="106" t="e">
        <f t="shared" ca="1" si="6"/>
        <v>#REF!</v>
      </c>
      <c r="AD42" s="193"/>
    </row>
    <row r="43" spans="1:32" ht="21" customHeight="1" x14ac:dyDescent="0.2">
      <c r="A43" s="3">
        <v>34</v>
      </c>
      <c r="B43" s="3" t="s">
        <v>196</v>
      </c>
      <c r="C43" s="3" t="s">
        <v>93</v>
      </c>
      <c r="D43" s="3" t="s">
        <v>207</v>
      </c>
      <c r="E43" s="110">
        <v>42066</v>
      </c>
      <c r="F43" s="111">
        <f t="shared" ca="1" si="0"/>
        <v>4</v>
      </c>
      <c r="G43" s="22">
        <f t="shared" si="10"/>
        <v>3745000</v>
      </c>
      <c r="H43" s="28" t="s">
        <v>236</v>
      </c>
      <c r="I43" s="28">
        <v>1</v>
      </c>
      <c r="J43" s="22">
        <f>SUMIFS(Sheet2!$C$1:$C$81,Sheet2!$A$1:$A$81,'Bang luong'!H43,Sheet2!$B$1:$B$81,'Bang luong'!I43)*1000</f>
        <v>3745000</v>
      </c>
      <c r="K43" s="77">
        <f>VLOOKUP(C43,CC!$C$5:$AJ$67,34,0)</f>
        <v>26</v>
      </c>
      <c r="L43" s="22">
        <f t="shared" si="2"/>
        <v>3745000</v>
      </c>
      <c r="M43" s="22">
        <f>VLOOKUP(C43,CC!$C$5:$AM$67,36,0)</f>
        <v>0</v>
      </c>
      <c r="N43" s="22">
        <f>VLOOKUP(C43,CC!$C$5:$BS$67,69,0)</f>
        <v>45</v>
      </c>
      <c r="O43" s="22">
        <f>VLOOKUP(C43,CC!$C$5:$BT$67,70,0)</f>
        <v>16</v>
      </c>
      <c r="P43" s="22">
        <f>VLOOKUP(C43,CC!$C$5:$AM$67,37,0)</f>
        <v>1</v>
      </c>
      <c r="Q43" s="22">
        <f t="shared" si="8"/>
        <v>5968593.75</v>
      </c>
      <c r="R43" s="22" t="e">
        <f>VLOOKUP(C43,'Công tổng'!$C$53:$BY$67,66,0)-L43</f>
        <v>#N/A</v>
      </c>
      <c r="S43" s="22">
        <f t="shared" ca="1" si="11"/>
        <v>149800</v>
      </c>
      <c r="T43" s="22">
        <f ca="1">(100%-SUMIF('chuyên cần'!$C$6:$AP$31,'Bang luong'!C43,'chuyên cần'!$AP$7:$AP$31))*$T$3</f>
        <v>300000</v>
      </c>
      <c r="U43" s="22"/>
      <c r="V43" s="22"/>
      <c r="W43" s="22"/>
      <c r="X43" s="22"/>
      <c r="Y43" s="106" t="e">
        <f t="shared" ca="1" si="9"/>
        <v>#N/A</v>
      </c>
      <c r="Z43" s="106">
        <f>'ung luong'!F95</f>
        <v>4000000</v>
      </c>
      <c r="AA43" s="106">
        <f t="shared" si="4"/>
        <v>0</v>
      </c>
      <c r="AB43" s="106" t="e">
        <f t="shared" ca="1" si="5"/>
        <v>#N/A</v>
      </c>
      <c r="AC43" s="106" t="e">
        <f t="shared" ca="1" si="6"/>
        <v>#N/A</v>
      </c>
      <c r="AD43" s="193"/>
    </row>
    <row r="44" spans="1:32" ht="21" customHeight="1" x14ac:dyDescent="0.2">
      <c r="A44" s="3">
        <v>35</v>
      </c>
      <c r="B44" s="3" t="s">
        <v>197</v>
      </c>
      <c r="C44" s="3" t="s">
        <v>80</v>
      </c>
      <c r="D44" s="3" t="s">
        <v>207</v>
      </c>
      <c r="E44" s="110">
        <v>42078</v>
      </c>
      <c r="F44" s="111">
        <f t="shared" ca="1" si="0"/>
        <v>4</v>
      </c>
      <c r="G44" s="22">
        <f t="shared" si="10"/>
        <v>3745000</v>
      </c>
      <c r="H44" s="28" t="s">
        <v>236</v>
      </c>
      <c r="I44" s="28">
        <v>1</v>
      </c>
      <c r="J44" s="22">
        <f>SUMIFS(Sheet2!$C$1:$C$81,Sheet2!$A$1:$A$81,'Bang luong'!H44,Sheet2!$B$1:$B$81,'Bang luong'!I44)*1000</f>
        <v>3745000</v>
      </c>
      <c r="K44" s="77">
        <f>VLOOKUP(C44,CC!$C$5:$AJ$67,34,0)</f>
        <v>26</v>
      </c>
      <c r="L44" s="22">
        <f t="shared" si="2"/>
        <v>3745000</v>
      </c>
      <c r="M44" s="22">
        <f>VLOOKUP(C44,CC!$C$5:$AM$67,36,0)</f>
        <v>0</v>
      </c>
      <c r="N44" s="22">
        <f>VLOOKUP(C44,CC!$C$5:$BS$67,69,0)</f>
        <v>69.5</v>
      </c>
      <c r="O44" s="22">
        <f>VLOOKUP(C44,CC!$C$5:$BT$67,70,0)</f>
        <v>32</v>
      </c>
      <c r="P44" s="22">
        <f>VLOOKUP(C44,CC!$C$5:$AM$67,37,0)</f>
        <v>1</v>
      </c>
      <c r="Q44" s="22">
        <f t="shared" si="8"/>
        <v>7206424.278846154</v>
      </c>
      <c r="R44" s="22" t="e">
        <f>VLOOKUP(C44,'Công tổng'!$C$53:$BY$67,66,0)-L44</f>
        <v>#N/A</v>
      </c>
      <c r="S44" s="22">
        <f t="shared" ca="1" si="11"/>
        <v>149800</v>
      </c>
      <c r="T44" s="22">
        <f ca="1">(100%-SUMIF('chuyên cần'!$C$6:$AP$31,'Bang luong'!C44,'chuyên cần'!$AP$7:$AP$31))*$T$3</f>
        <v>0</v>
      </c>
      <c r="U44" s="22"/>
      <c r="V44" s="22"/>
      <c r="W44" s="22"/>
      <c r="X44" s="22"/>
      <c r="Y44" s="203" t="e">
        <f t="shared" ca="1" si="9"/>
        <v>#N/A</v>
      </c>
      <c r="Z44" s="106">
        <f>'ung luong'!F109</f>
        <v>4000000</v>
      </c>
      <c r="AA44" s="106">
        <f t="shared" si="4"/>
        <v>0</v>
      </c>
      <c r="AB44" s="106" t="e">
        <f t="shared" ca="1" si="5"/>
        <v>#N/A</v>
      </c>
      <c r="AC44" s="106" t="e">
        <f t="shared" ca="1" si="6"/>
        <v>#N/A</v>
      </c>
      <c r="AD44" s="193"/>
    </row>
    <row r="45" spans="1:32" ht="21" customHeight="1" x14ac:dyDescent="0.2">
      <c r="A45" s="3">
        <v>36</v>
      </c>
      <c r="B45" s="3" t="s">
        <v>198</v>
      </c>
      <c r="C45" s="3" t="s">
        <v>78</v>
      </c>
      <c r="D45" s="3" t="s">
        <v>207</v>
      </c>
      <c r="E45" s="110">
        <v>40869</v>
      </c>
      <c r="F45" s="111">
        <f t="shared" ca="1" si="0"/>
        <v>7</v>
      </c>
      <c r="G45" s="22">
        <f t="shared" si="10"/>
        <v>3745000</v>
      </c>
      <c r="H45" s="28" t="s">
        <v>236</v>
      </c>
      <c r="I45" s="28">
        <v>1</v>
      </c>
      <c r="J45" s="22">
        <f>SUMIFS(Sheet2!$C$1:$C$81,Sheet2!$A$1:$A$81,'Bang luong'!H45,Sheet2!$B$1:$B$81,'Bang luong'!I45)*1000</f>
        <v>3745000</v>
      </c>
      <c r="K45" s="77">
        <f>VLOOKUP(C45,CC!$C$5:$AJ$67,34,0)</f>
        <v>26</v>
      </c>
      <c r="L45" s="22">
        <f t="shared" si="2"/>
        <v>3745000</v>
      </c>
      <c r="M45" s="22">
        <f>VLOOKUP(C45,CC!$C$5:$AM$67,36,0)</f>
        <v>0</v>
      </c>
      <c r="N45" s="22">
        <f>VLOOKUP(C45,CC!$C$5:$BS$67,69,0)</f>
        <v>0</v>
      </c>
      <c r="O45" s="22">
        <f>VLOOKUP(C45,CC!$C$5:$BT$67,70,0)</f>
        <v>16</v>
      </c>
      <c r="P45" s="22">
        <f>VLOOKUP(C45,CC!$C$5:$AM$67,37,0)</f>
        <v>1</v>
      </c>
      <c r="Q45" s="22">
        <f t="shared" si="8"/>
        <v>4753269.230769231</v>
      </c>
      <c r="R45" s="22" t="e">
        <f>VLOOKUP(C45,'Công tổng'!$C$53:$BY$67,66,0)-L45</f>
        <v>#N/A</v>
      </c>
      <c r="S45" s="22">
        <f t="shared" ca="1" si="11"/>
        <v>262150</v>
      </c>
      <c r="T45" s="22">
        <f ca="1">(100%-SUMIF('chuyên cần'!$C$6:$AP$31,'Bang luong'!C45,'chuyên cần'!$AP$7:$AP$31))*$T$3</f>
        <v>300000</v>
      </c>
      <c r="U45" s="22"/>
      <c r="V45" s="22"/>
      <c r="W45" s="22"/>
      <c r="X45" s="22"/>
      <c r="Y45" s="106" t="e">
        <f t="shared" ca="1" si="9"/>
        <v>#N/A</v>
      </c>
      <c r="Z45" s="106" t="e">
        <f>'ung luong'!#REF!</f>
        <v>#REF!</v>
      </c>
      <c r="AA45" s="106">
        <f t="shared" si="4"/>
        <v>348285</v>
      </c>
      <c r="AB45" s="106" t="e">
        <f t="shared" ca="1" si="5"/>
        <v>#N/A</v>
      </c>
      <c r="AC45" s="106" t="e">
        <f t="shared" ca="1" si="6"/>
        <v>#N/A</v>
      </c>
      <c r="AD45" s="193"/>
      <c r="AF45" s="31">
        <v>3317000</v>
      </c>
    </row>
    <row r="46" spans="1:32" ht="21" customHeight="1" x14ac:dyDescent="0.2">
      <c r="A46" s="3">
        <v>37</v>
      </c>
      <c r="B46" s="3" t="s">
        <v>199</v>
      </c>
      <c r="C46" s="3" t="s">
        <v>82</v>
      </c>
      <c r="D46" s="3" t="s">
        <v>207</v>
      </c>
      <c r="E46" s="110">
        <v>42201</v>
      </c>
      <c r="F46" s="111">
        <f t="shared" ca="1" si="0"/>
        <v>4</v>
      </c>
      <c r="G46" s="22">
        <f t="shared" si="10"/>
        <v>3745000</v>
      </c>
      <c r="H46" s="28" t="s">
        <v>236</v>
      </c>
      <c r="I46" s="28">
        <v>1</v>
      </c>
      <c r="J46" s="22">
        <f>SUMIFS(Sheet2!$C$1:$C$81,Sheet2!$A$1:$A$81,'Bang luong'!H46,Sheet2!$B$1:$B$81,'Bang luong'!I46)*1000</f>
        <v>3745000</v>
      </c>
      <c r="K46" s="77" t="e">
        <f>VLOOKUP(C46,CC!$C$5:$AJ$67,34,0)</f>
        <v>#N/A</v>
      </c>
      <c r="L46" s="22" t="e">
        <f t="shared" si="2"/>
        <v>#N/A</v>
      </c>
      <c r="M46" s="22" t="e">
        <f>VLOOKUP(C46,CC!$C$5:$AM$67,36,0)</f>
        <v>#N/A</v>
      </c>
      <c r="N46" s="22" t="e">
        <f>VLOOKUP(C46,CC!$C$5:$BS$67,69,0)</f>
        <v>#N/A</v>
      </c>
      <c r="O46" s="22" t="e">
        <f>VLOOKUP(C46,CC!$C$5:$BT$67,70,0)</f>
        <v>#N/A</v>
      </c>
      <c r="P46" s="22" t="e">
        <f>VLOOKUP(C46,CC!$C$5:$AM$67,37,0)</f>
        <v>#N/A</v>
      </c>
      <c r="Q46" s="22" t="e">
        <f t="shared" si="8"/>
        <v>#N/A</v>
      </c>
      <c r="R46" s="22" t="e">
        <f>VLOOKUP(C46,'Công tổng'!$C$53:$BY$67,66,0)-L46</f>
        <v>#N/A</v>
      </c>
      <c r="S46" s="22">
        <f t="shared" ca="1" si="11"/>
        <v>149800</v>
      </c>
      <c r="T46" s="22">
        <f ca="1">(100%-SUMIF('chuyên cần'!$C$6:$AP$31,'Bang luong'!C46,'chuyên cần'!$AP$7:$AP$31))*$T$3</f>
        <v>300000</v>
      </c>
      <c r="U46" s="22"/>
      <c r="V46" s="22"/>
      <c r="W46" s="22"/>
      <c r="X46" s="22"/>
      <c r="Y46" s="106" t="e">
        <f t="shared" ca="1" si="9"/>
        <v>#N/A</v>
      </c>
      <c r="Z46" s="106">
        <f>'ung luong'!F94</f>
        <v>0</v>
      </c>
      <c r="AA46" s="106">
        <f t="shared" si="4"/>
        <v>0</v>
      </c>
      <c r="AB46" s="106" t="e">
        <f t="shared" ca="1" si="5"/>
        <v>#N/A</v>
      </c>
      <c r="AC46" s="106" t="e">
        <f ca="1">ROUND(AB46,-3)</f>
        <v>#N/A</v>
      </c>
      <c r="AD46" s="193"/>
    </row>
    <row r="47" spans="1:32" ht="20.25" customHeight="1" x14ac:dyDescent="0.2">
      <c r="A47" s="3">
        <v>38</v>
      </c>
      <c r="B47" s="3" t="s">
        <v>200</v>
      </c>
      <c r="C47" s="3" t="s">
        <v>79</v>
      </c>
      <c r="D47" s="3" t="s">
        <v>207</v>
      </c>
      <c r="E47" s="110">
        <v>41232</v>
      </c>
      <c r="F47" s="111">
        <f t="shared" ca="1" si="0"/>
        <v>6</v>
      </c>
      <c r="G47" s="22">
        <f t="shared" si="10"/>
        <v>3745000</v>
      </c>
      <c r="H47" s="28" t="s">
        <v>236</v>
      </c>
      <c r="I47" s="28">
        <v>1</v>
      </c>
      <c r="J47" s="22">
        <f>SUMIFS(Sheet2!$C$1:$C$81,Sheet2!$A$1:$A$81,'Bang luong'!H47,Sheet2!$B$1:$B$81,'Bang luong'!I47)*1000</f>
        <v>3745000</v>
      </c>
      <c r="K47" s="77" t="e">
        <f>VLOOKUP(C47,CC!$C$5:$AJ$67,34,0)</f>
        <v>#N/A</v>
      </c>
      <c r="L47" s="22" t="e">
        <f t="shared" si="2"/>
        <v>#N/A</v>
      </c>
      <c r="M47" s="22" t="e">
        <f>VLOOKUP(C47,CC!$C$5:$AM$67,36,0)</f>
        <v>#N/A</v>
      </c>
      <c r="N47" s="22" t="e">
        <f>VLOOKUP(C47,CC!$C$5:$BS$67,69,0)</f>
        <v>#N/A</v>
      </c>
      <c r="O47" s="22" t="e">
        <f>VLOOKUP(C47,CC!$C$5:$BT$67,70,0)</f>
        <v>#N/A</v>
      </c>
      <c r="P47" s="22" t="e">
        <f>VLOOKUP(C47,CC!$C$5:$AM$67,37,0)</f>
        <v>#N/A</v>
      </c>
      <c r="Q47" s="22" t="e">
        <f t="shared" si="8"/>
        <v>#N/A</v>
      </c>
      <c r="R47" s="22" t="e">
        <f>VLOOKUP(C47,'Công tổng'!$C$53:$BY$67,66,0)-L47</f>
        <v>#N/A</v>
      </c>
      <c r="S47" s="22">
        <f t="shared" ca="1" si="11"/>
        <v>224700</v>
      </c>
      <c r="T47" s="22">
        <f ca="1">(100%-SUMIF('chuyên cần'!$C$6:$AP$31,'Bang luong'!C47,'chuyên cần'!$AP$7:$AP$31))*$T$3</f>
        <v>300000</v>
      </c>
      <c r="U47" s="22"/>
      <c r="V47" s="22"/>
      <c r="W47" s="22"/>
      <c r="X47" s="22"/>
      <c r="Y47" s="106" t="e">
        <f t="shared" ca="1" si="9"/>
        <v>#N/A</v>
      </c>
      <c r="Z47" s="106" t="e">
        <f>'ung luong'!#REF!</f>
        <v>#REF!</v>
      </c>
      <c r="AA47" s="106">
        <f t="shared" si="4"/>
        <v>348285</v>
      </c>
      <c r="AB47" s="106" t="e">
        <f t="shared" ca="1" si="5"/>
        <v>#N/A</v>
      </c>
      <c r="AC47" s="106" t="e">
        <f t="shared" ca="1" si="6"/>
        <v>#N/A</v>
      </c>
      <c r="AD47" s="193"/>
      <c r="AF47" s="31">
        <v>3317000</v>
      </c>
    </row>
    <row r="48" spans="1:32" ht="21" customHeight="1" x14ac:dyDescent="0.2">
      <c r="A48" s="3">
        <v>39</v>
      </c>
      <c r="B48" s="3" t="s">
        <v>497</v>
      </c>
      <c r="C48" s="3" t="s">
        <v>501</v>
      </c>
      <c r="D48" s="3" t="s">
        <v>207</v>
      </c>
      <c r="E48" s="110">
        <v>42301</v>
      </c>
      <c r="F48" s="111">
        <f ca="1">IF(E48=0,0,INT((NOW()-E48)/365))</f>
        <v>3</v>
      </c>
      <c r="G48" s="22">
        <f t="shared" si="10"/>
        <v>3745000</v>
      </c>
      <c r="H48" s="28" t="s">
        <v>236</v>
      </c>
      <c r="I48" s="28">
        <v>1</v>
      </c>
      <c r="J48" s="22">
        <f>SUMIFS(Sheet2!$C$1:$C$81,Sheet2!$A$1:$A$81,'Bang luong'!H48,Sheet2!$B$1:$B$81,'Bang luong'!I48)*1000</f>
        <v>3745000</v>
      </c>
      <c r="K48" s="77" t="e">
        <f>VLOOKUP(C48,CC!$C$5:$AJ$67,34,0)</f>
        <v>#N/A</v>
      </c>
      <c r="L48" s="22" t="e">
        <f t="shared" si="2"/>
        <v>#N/A</v>
      </c>
      <c r="M48" s="22" t="e">
        <f>VLOOKUP(C48,CC!$C$5:$AM$67,36,0)</f>
        <v>#N/A</v>
      </c>
      <c r="N48" s="22" t="e">
        <f>VLOOKUP(C48,CC!$C$5:$BS$67,69,0)</f>
        <v>#N/A</v>
      </c>
      <c r="O48" s="22" t="e">
        <f>VLOOKUP(C48,CC!$C$5:$BT$67,70,0)</f>
        <v>#N/A</v>
      </c>
      <c r="P48" s="22" t="e">
        <f>VLOOKUP(C48,CC!$C$5:$AM$67,37,0)</f>
        <v>#N/A</v>
      </c>
      <c r="Q48" s="22" t="e">
        <f>((J48/26)*K48)+(M48*(J48/26))+((N48/8)*1.5*(J48/26))+((O48/8)*2*J48/26)+(P48*3*(J48/26))</f>
        <v>#N/A</v>
      </c>
      <c r="R48" s="22" t="e">
        <f>VLOOKUP(C48,'Công tổng'!$C$53:$BY$67,66,0)-L48</f>
        <v>#N/A</v>
      </c>
      <c r="S48" s="22">
        <f ca="1">IF((F48-$S$3)&gt;0,F48%*J48,0)</f>
        <v>112350</v>
      </c>
      <c r="T48" s="22">
        <f ca="1">(100%-SUMIF('chuyên cần'!$C$6:$AP$31,'Bang luong'!C48,'chuyên cần'!$AP$7:$AP$31))*$T$3</f>
        <v>300000</v>
      </c>
      <c r="U48" s="22"/>
      <c r="V48" s="22"/>
      <c r="W48" s="22"/>
      <c r="X48" s="22"/>
      <c r="Y48" s="106" t="e">
        <f t="shared" ca="1" si="9"/>
        <v>#N/A</v>
      </c>
      <c r="Z48" s="106" t="e">
        <f>'ung luong'!#REF!</f>
        <v>#REF!</v>
      </c>
      <c r="AA48" s="106">
        <f t="shared" si="4"/>
        <v>0</v>
      </c>
      <c r="AB48" s="106" t="e">
        <f t="shared" ca="1" si="5"/>
        <v>#N/A</v>
      </c>
      <c r="AC48" s="106" t="e">
        <f t="shared" ca="1" si="6"/>
        <v>#N/A</v>
      </c>
      <c r="AD48" s="193"/>
    </row>
    <row r="49" spans="1:32" ht="21" customHeight="1" x14ac:dyDescent="0.2">
      <c r="A49" s="3">
        <v>40</v>
      </c>
      <c r="B49" s="3" t="s">
        <v>498</v>
      </c>
      <c r="C49" s="3" t="s">
        <v>502</v>
      </c>
      <c r="D49" s="3" t="s">
        <v>207</v>
      </c>
      <c r="E49" s="110">
        <v>42301</v>
      </c>
      <c r="F49" s="111">
        <f ca="1">IF(E49=0,0,INT((NOW()-E49)/365))</f>
        <v>3</v>
      </c>
      <c r="G49" s="22">
        <f t="shared" si="10"/>
        <v>3745000</v>
      </c>
      <c r="H49" s="28" t="s">
        <v>236</v>
      </c>
      <c r="I49" s="28">
        <v>1</v>
      </c>
      <c r="J49" s="22">
        <f>SUMIFS(Sheet2!$C$1:$C$81,Sheet2!$A$1:$A$81,'Bang luong'!H49,Sheet2!$B$1:$B$81,'Bang luong'!I49)*1000</f>
        <v>3745000</v>
      </c>
      <c r="K49" s="77" t="e">
        <f>VLOOKUP(C49,CC!$C$5:$AJ$67,34,0)</f>
        <v>#N/A</v>
      </c>
      <c r="L49" s="22" t="e">
        <f t="shared" si="2"/>
        <v>#N/A</v>
      </c>
      <c r="M49" s="22" t="e">
        <f>VLOOKUP(C49,CC!$C$5:$AM$67,36,0)</f>
        <v>#N/A</v>
      </c>
      <c r="N49" s="22" t="e">
        <f>VLOOKUP(C49,CC!$C$5:$BS$67,69,0)</f>
        <v>#N/A</v>
      </c>
      <c r="O49" s="22" t="e">
        <f>VLOOKUP(C49,CC!$C$5:$BT$67,70,0)</f>
        <v>#N/A</v>
      </c>
      <c r="P49" s="22" t="e">
        <f>VLOOKUP(C49,CC!$C$5:$AM$67,37,0)</f>
        <v>#N/A</v>
      </c>
      <c r="Q49" s="22" t="e">
        <f>((J49/26)*K49)+(M49*(J49/26))+((N49/8)*1.5*(J49/26))+((O49/8)*2*J49/26)+(P49*3*(J49/26))</f>
        <v>#N/A</v>
      </c>
      <c r="R49" s="22" t="e">
        <f>VLOOKUP(C49,'Công tổng'!$C$53:$BY$67,66,0)-L49</f>
        <v>#N/A</v>
      </c>
      <c r="S49" s="22">
        <f ca="1">IF((F49-$S$3)&gt;0,F49%*J49,0)</f>
        <v>112350</v>
      </c>
      <c r="T49" s="22">
        <f ca="1">(100%-SUMIF('chuyên cần'!$C$6:$AP$31,'Bang luong'!C49,'chuyên cần'!$AP$7:$AP$31))*$T$3</f>
        <v>300000</v>
      </c>
      <c r="U49" s="22"/>
      <c r="V49" s="22"/>
      <c r="W49" s="22"/>
      <c r="X49" s="22"/>
      <c r="Y49" s="106" t="e">
        <f t="shared" ca="1" si="9"/>
        <v>#N/A</v>
      </c>
      <c r="Z49" s="106" t="e">
        <f>'ung luong'!#REF!</f>
        <v>#REF!</v>
      </c>
      <c r="AA49" s="106">
        <f t="shared" si="4"/>
        <v>0</v>
      </c>
      <c r="AB49" s="106" t="e">
        <f t="shared" ca="1" si="5"/>
        <v>#N/A</v>
      </c>
      <c r="AC49" s="106" t="e">
        <f t="shared" ca="1" si="6"/>
        <v>#N/A</v>
      </c>
      <c r="AD49" s="193"/>
    </row>
    <row r="50" spans="1:32" hidden="1" x14ac:dyDescent="0.2">
      <c r="A50" s="3">
        <v>87</v>
      </c>
      <c r="B50" s="3" t="s">
        <v>499</v>
      </c>
      <c r="C50" s="3"/>
      <c r="D50" s="3"/>
      <c r="E50" s="110"/>
      <c r="F50" s="111"/>
      <c r="G50" s="22"/>
      <c r="H50" s="28"/>
      <c r="I50" s="28"/>
      <c r="J50" s="22"/>
      <c r="K50" s="77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106">
        <f t="shared" si="9"/>
        <v>0</v>
      </c>
      <c r="Z50" s="106">
        <f>'ung luong'!F135</f>
        <v>111500000</v>
      </c>
      <c r="AA50" s="106">
        <f t="shared" si="4"/>
        <v>0</v>
      </c>
      <c r="AB50" s="106"/>
      <c r="AC50" s="106"/>
      <c r="AD50" s="193"/>
    </row>
    <row r="51" spans="1:32" hidden="1" x14ac:dyDescent="0.2">
      <c r="A51" s="3">
        <v>88</v>
      </c>
      <c r="B51" s="3" t="s">
        <v>500</v>
      </c>
      <c r="C51" s="3"/>
      <c r="D51" s="3"/>
      <c r="E51" s="110"/>
      <c r="F51" s="111"/>
      <c r="G51" s="22"/>
      <c r="H51" s="28"/>
      <c r="I51" s="28"/>
      <c r="J51" s="22"/>
      <c r="K51" s="77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106">
        <f>Q51+R51+S51+T51+U51+V51+W51+X51</f>
        <v>0</v>
      </c>
      <c r="Z51" s="106" t="e">
        <f>'ung luong'!#REF!</f>
        <v>#REF!</v>
      </c>
      <c r="AA51" s="106">
        <f t="shared" si="4"/>
        <v>0</v>
      </c>
      <c r="AB51" s="106"/>
      <c r="AC51" s="106"/>
      <c r="AD51" s="193"/>
    </row>
    <row r="52" spans="1:32" s="182" customFormat="1" ht="15" x14ac:dyDescent="0.2">
      <c r="A52" s="178"/>
      <c r="B52" s="178"/>
      <c r="C52" s="178" t="s">
        <v>543</v>
      </c>
      <c r="D52" s="178"/>
      <c r="E52" s="179"/>
      <c r="F52" s="180"/>
      <c r="G52" s="177"/>
      <c r="H52" s="181"/>
      <c r="I52" s="181"/>
      <c r="J52" s="177"/>
      <c r="K52" s="188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 t="e">
        <f ca="1">Y33+Y17+Y13+Y10+Y5</f>
        <v>#N/A</v>
      </c>
      <c r="Z52" s="177" t="e">
        <f>Z33+Z17+Z13+Z10+Z5</f>
        <v>#REF!</v>
      </c>
      <c r="AA52" s="177">
        <f>AA33+AA17+AA13+AA10+AA5</f>
        <v>6444195</v>
      </c>
      <c r="AB52" s="177" t="e">
        <f ca="1">AB33+AB17+AB13+AB10+AB5</f>
        <v>#N/A</v>
      </c>
      <c r="AC52" s="177" t="e">
        <f ca="1">AC33+AC17+AC13+AC10+AC5</f>
        <v>#N/A</v>
      </c>
      <c r="AD52" s="194"/>
      <c r="AE52" s="216"/>
      <c r="AF52" s="216"/>
    </row>
    <row r="53" spans="1:32" x14ac:dyDescent="0.2">
      <c r="C53" s="31" t="s">
        <v>95</v>
      </c>
      <c r="Q53" s="31" t="s">
        <v>541</v>
      </c>
      <c r="X53" s="31" t="s">
        <v>539</v>
      </c>
    </row>
    <row r="54" spans="1:32" x14ac:dyDescent="0.2">
      <c r="C54" s="31"/>
    </row>
    <row r="55" spans="1:32" x14ac:dyDescent="0.2">
      <c r="C55" s="31"/>
    </row>
    <row r="56" spans="1:32" x14ac:dyDescent="0.2">
      <c r="C56" s="31"/>
    </row>
    <row r="57" spans="1:32" x14ac:dyDescent="0.2">
      <c r="C57" s="31"/>
    </row>
    <row r="58" spans="1:32" s="2" customFormat="1" x14ac:dyDescent="0.2">
      <c r="C58" s="166" t="s">
        <v>542</v>
      </c>
      <c r="H58" s="168"/>
      <c r="I58" s="168"/>
      <c r="J58" s="166"/>
      <c r="K58" s="170"/>
      <c r="L58" s="166"/>
      <c r="M58" s="166"/>
      <c r="N58" s="166"/>
      <c r="O58" s="166"/>
      <c r="P58" s="166"/>
      <c r="Q58" s="166" t="s">
        <v>542</v>
      </c>
      <c r="R58" s="166"/>
      <c r="S58" s="166"/>
      <c r="T58" s="166"/>
      <c r="U58" s="166"/>
      <c r="V58" s="166"/>
      <c r="W58" s="166"/>
      <c r="X58" s="166" t="s">
        <v>540</v>
      </c>
      <c r="Y58" s="166"/>
      <c r="Z58" s="166"/>
      <c r="AA58" s="166"/>
      <c r="AB58" s="166"/>
      <c r="AC58" s="166"/>
      <c r="AE58" s="166"/>
      <c r="AF58" s="166"/>
    </row>
    <row r="60" spans="1:32" x14ac:dyDescent="0.2">
      <c r="H60" s="1"/>
      <c r="I60" s="1"/>
      <c r="J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</sheetData>
  <autoFilter ref="A4:G47"/>
  <pageMargins left="0" right="0" top="0" bottom="0" header="0.31496062992125984" footer="0.31496062992125984"/>
  <pageSetup paperSize="9" scale="46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F491"/>
  <sheetViews>
    <sheetView topLeftCell="A19" workbookViewId="0">
      <selection activeCell="E1" sqref="E1"/>
    </sheetView>
  </sheetViews>
  <sheetFormatPr defaultRowHeight="15" x14ac:dyDescent="0.25"/>
  <cols>
    <col min="1" max="2" width="9.140625" style="367"/>
    <col min="3" max="3" width="11.7109375" style="383" bestFit="1" customWidth="1"/>
    <col min="4" max="4" width="12.5703125" style="382" customWidth="1"/>
    <col min="5" max="258" width="9.140625" style="367"/>
    <col min="259" max="259" width="11.7109375" style="367" bestFit="1" customWidth="1"/>
    <col min="260" max="260" width="12.5703125" style="367" customWidth="1"/>
    <col min="261" max="514" width="9.140625" style="367"/>
    <col min="515" max="515" width="11.7109375" style="367" bestFit="1" customWidth="1"/>
    <col min="516" max="516" width="12.5703125" style="367" customWidth="1"/>
    <col min="517" max="770" width="9.140625" style="367"/>
    <col min="771" max="771" width="11.7109375" style="367" bestFit="1" customWidth="1"/>
    <col min="772" max="772" width="12.5703125" style="367" customWidth="1"/>
    <col min="773" max="1026" width="9.140625" style="367"/>
    <col min="1027" max="1027" width="11.7109375" style="367" bestFit="1" customWidth="1"/>
    <col min="1028" max="1028" width="12.5703125" style="367" customWidth="1"/>
    <col min="1029" max="1282" width="9.140625" style="367"/>
    <col min="1283" max="1283" width="11.7109375" style="367" bestFit="1" customWidth="1"/>
    <col min="1284" max="1284" width="12.5703125" style="367" customWidth="1"/>
    <col min="1285" max="1538" width="9.140625" style="367"/>
    <col min="1539" max="1539" width="11.7109375" style="367" bestFit="1" customWidth="1"/>
    <col min="1540" max="1540" width="12.5703125" style="367" customWidth="1"/>
    <col min="1541" max="1794" width="9.140625" style="367"/>
    <col min="1795" max="1795" width="11.7109375" style="367" bestFit="1" customWidth="1"/>
    <col min="1796" max="1796" width="12.5703125" style="367" customWidth="1"/>
    <col min="1797" max="2050" width="9.140625" style="367"/>
    <col min="2051" max="2051" width="11.7109375" style="367" bestFit="1" customWidth="1"/>
    <col min="2052" max="2052" width="12.5703125" style="367" customWidth="1"/>
    <col min="2053" max="2306" width="9.140625" style="367"/>
    <col min="2307" max="2307" width="11.7109375" style="367" bestFit="1" customWidth="1"/>
    <col min="2308" max="2308" width="12.5703125" style="367" customWidth="1"/>
    <col min="2309" max="2562" width="9.140625" style="367"/>
    <col min="2563" max="2563" width="11.7109375" style="367" bestFit="1" customWidth="1"/>
    <col min="2564" max="2564" width="12.5703125" style="367" customWidth="1"/>
    <col min="2565" max="2818" width="9.140625" style="367"/>
    <col min="2819" max="2819" width="11.7109375" style="367" bestFit="1" customWidth="1"/>
    <col min="2820" max="2820" width="12.5703125" style="367" customWidth="1"/>
    <col min="2821" max="3074" width="9.140625" style="367"/>
    <col min="3075" max="3075" width="11.7109375" style="367" bestFit="1" customWidth="1"/>
    <col min="3076" max="3076" width="12.5703125" style="367" customWidth="1"/>
    <col min="3077" max="3330" width="9.140625" style="367"/>
    <col min="3331" max="3331" width="11.7109375" style="367" bestFit="1" customWidth="1"/>
    <col min="3332" max="3332" width="12.5703125" style="367" customWidth="1"/>
    <col min="3333" max="3586" width="9.140625" style="367"/>
    <col min="3587" max="3587" width="11.7109375" style="367" bestFit="1" customWidth="1"/>
    <col min="3588" max="3588" width="12.5703125" style="367" customWidth="1"/>
    <col min="3589" max="3842" width="9.140625" style="367"/>
    <col min="3843" max="3843" width="11.7109375" style="367" bestFit="1" customWidth="1"/>
    <col min="3844" max="3844" width="12.5703125" style="367" customWidth="1"/>
    <col min="3845" max="4098" width="9.140625" style="367"/>
    <col min="4099" max="4099" width="11.7109375" style="367" bestFit="1" customWidth="1"/>
    <col min="4100" max="4100" width="12.5703125" style="367" customWidth="1"/>
    <col min="4101" max="4354" width="9.140625" style="367"/>
    <col min="4355" max="4355" width="11.7109375" style="367" bestFit="1" customWidth="1"/>
    <col min="4356" max="4356" width="12.5703125" style="367" customWidth="1"/>
    <col min="4357" max="4610" width="9.140625" style="367"/>
    <col min="4611" max="4611" width="11.7109375" style="367" bestFit="1" customWidth="1"/>
    <col min="4612" max="4612" width="12.5703125" style="367" customWidth="1"/>
    <col min="4613" max="4866" width="9.140625" style="367"/>
    <col min="4867" max="4867" width="11.7109375" style="367" bestFit="1" customWidth="1"/>
    <col min="4868" max="4868" width="12.5703125" style="367" customWidth="1"/>
    <col min="4869" max="5122" width="9.140625" style="367"/>
    <col min="5123" max="5123" width="11.7109375" style="367" bestFit="1" customWidth="1"/>
    <col min="5124" max="5124" width="12.5703125" style="367" customWidth="1"/>
    <col min="5125" max="5378" width="9.140625" style="367"/>
    <col min="5379" max="5379" width="11.7109375" style="367" bestFit="1" customWidth="1"/>
    <col min="5380" max="5380" width="12.5703125" style="367" customWidth="1"/>
    <col min="5381" max="5634" width="9.140625" style="367"/>
    <col min="5635" max="5635" width="11.7109375" style="367" bestFit="1" customWidth="1"/>
    <col min="5636" max="5636" width="12.5703125" style="367" customWidth="1"/>
    <col min="5637" max="5890" width="9.140625" style="367"/>
    <col min="5891" max="5891" width="11.7109375" style="367" bestFit="1" customWidth="1"/>
    <col min="5892" max="5892" width="12.5703125" style="367" customWidth="1"/>
    <col min="5893" max="6146" width="9.140625" style="367"/>
    <col min="6147" max="6147" width="11.7109375" style="367" bestFit="1" customWidth="1"/>
    <col min="6148" max="6148" width="12.5703125" style="367" customWidth="1"/>
    <col min="6149" max="6402" width="9.140625" style="367"/>
    <col min="6403" max="6403" width="11.7109375" style="367" bestFit="1" customWidth="1"/>
    <col min="6404" max="6404" width="12.5703125" style="367" customWidth="1"/>
    <col min="6405" max="6658" width="9.140625" style="367"/>
    <col min="6659" max="6659" width="11.7109375" style="367" bestFit="1" customWidth="1"/>
    <col min="6660" max="6660" width="12.5703125" style="367" customWidth="1"/>
    <col min="6661" max="6914" width="9.140625" style="367"/>
    <col min="6915" max="6915" width="11.7109375" style="367" bestFit="1" customWidth="1"/>
    <col min="6916" max="6916" width="12.5703125" style="367" customWidth="1"/>
    <col min="6917" max="7170" width="9.140625" style="367"/>
    <col min="7171" max="7171" width="11.7109375" style="367" bestFit="1" customWidth="1"/>
    <col min="7172" max="7172" width="12.5703125" style="367" customWidth="1"/>
    <col min="7173" max="7426" width="9.140625" style="367"/>
    <col min="7427" max="7427" width="11.7109375" style="367" bestFit="1" customWidth="1"/>
    <col min="7428" max="7428" width="12.5703125" style="367" customWidth="1"/>
    <col min="7429" max="7682" width="9.140625" style="367"/>
    <col min="7683" max="7683" width="11.7109375" style="367" bestFit="1" customWidth="1"/>
    <col min="7684" max="7684" width="12.5703125" style="367" customWidth="1"/>
    <col min="7685" max="7938" width="9.140625" style="367"/>
    <col min="7939" max="7939" width="11.7109375" style="367" bestFit="1" customWidth="1"/>
    <col min="7940" max="7940" width="12.5703125" style="367" customWidth="1"/>
    <col min="7941" max="8194" width="9.140625" style="367"/>
    <col min="8195" max="8195" width="11.7109375" style="367" bestFit="1" customWidth="1"/>
    <col min="8196" max="8196" width="12.5703125" style="367" customWidth="1"/>
    <col min="8197" max="8450" width="9.140625" style="367"/>
    <col min="8451" max="8451" width="11.7109375" style="367" bestFit="1" customWidth="1"/>
    <col min="8452" max="8452" width="12.5703125" style="367" customWidth="1"/>
    <col min="8453" max="8706" width="9.140625" style="367"/>
    <col min="8707" max="8707" width="11.7109375" style="367" bestFit="1" customWidth="1"/>
    <col min="8708" max="8708" width="12.5703125" style="367" customWidth="1"/>
    <col min="8709" max="8962" width="9.140625" style="367"/>
    <col min="8963" max="8963" width="11.7109375" style="367" bestFit="1" customWidth="1"/>
    <col min="8964" max="8964" width="12.5703125" style="367" customWidth="1"/>
    <col min="8965" max="9218" width="9.140625" style="367"/>
    <col min="9219" max="9219" width="11.7109375" style="367" bestFit="1" customWidth="1"/>
    <col min="9220" max="9220" width="12.5703125" style="367" customWidth="1"/>
    <col min="9221" max="9474" width="9.140625" style="367"/>
    <col min="9475" max="9475" width="11.7109375" style="367" bestFit="1" customWidth="1"/>
    <col min="9476" max="9476" width="12.5703125" style="367" customWidth="1"/>
    <col min="9477" max="9730" width="9.140625" style="367"/>
    <col min="9731" max="9731" width="11.7109375" style="367" bestFit="1" customWidth="1"/>
    <col min="9732" max="9732" width="12.5703125" style="367" customWidth="1"/>
    <col min="9733" max="9986" width="9.140625" style="367"/>
    <col min="9987" max="9987" width="11.7109375" style="367" bestFit="1" customWidth="1"/>
    <col min="9988" max="9988" width="12.5703125" style="367" customWidth="1"/>
    <col min="9989" max="10242" width="9.140625" style="367"/>
    <col min="10243" max="10243" width="11.7109375" style="367" bestFit="1" customWidth="1"/>
    <col min="10244" max="10244" width="12.5703125" style="367" customWidth="1"/>
    <col min="10245" max="10498" width="9.140625" style="367"/>
    <col min="10499" max="10499" width="11.7109375" style="367" bestFit="1" customWidth="1"/>
    <col min="10500" max="10500" width="12.5703125" style="367" customWidth="1"/>
    <col min="10501" max="10754" width="9.140625" style="367"/>
    <col min="10755" max="10755" width="11.7109375" style="367" bestFit="1" customWidth="1"/>
    <col min="10756" max="10756" width="12.5703125" style="367" customWidth="1"/>
    <col min="10757" max="11010" width="9.140625" style="367"/>
    <col min="11011" max="11011" width="11.7109375" style="367" bestFit="1" customWidth="1"/>
    <col min="11012" max="11012" width="12.5703125" style="367" customWidth="1"/>
    <col min="11013" max="11266" width="9.140625" style="367"/>
    <col min="11267" max="11267" width="11.7109375" style="367" bestFit="1" customWidth="1"/>
    <col min="11268" max="11268" width="12.5703125" style="367" customWidth="1"/>
    <col min="11269" max="11522" width="9.140625" style="367"/>
    <col min="11523" max="11523" width="11.7109375" style="367" bestFit="1" customWidth="1"/>
    <col min="11524" max="11524" width="12.5703125" style="367" customWidth="1"/>
    <col min="11525" max="11778" width="9.140625" style="367"/>
    <col min="11779" max="11779" width="11.7109375" style="367" bestFit="1" customWidth="1"/>
    <col min="11780" max="11780" width="12.5703125" style="367" customWidth="1"/>
    <col min="11781" max="12034" width="9.140625" style="367"/>
    <col min="12035" max="12035" width="11.7109375" style="367" bestFit="1" customWidth="1"/>
    <col min="12036" max="12036" width="12.5703125" style="367" customWidth="1"/>
    <col min="12037" max="12290" width="9.140625" style="367"/>
    <col min="12291" max="12291" width="11.7109375" style="367" bestFit="1" customWidth="1"/>
    <col min="12292" max="12292" width="12.5703125" style="367" customWidth="1"/>
    <col min="12293" max="12546" width="9.140625" style="367"/>
    <col min="12547" max="12547" width="11.7109375" style="367" bestFit="1" customWidth="1"/>
    <col min="12548" max="12548" width="12.5703125" style="367" customWidth="1"/>
    <col min="12549" max="12802" width="9.140625" style="367"/>
    <col min="12803" max="12803" width="11.7109375" style="367" bestFit="1" customWidth="1"/>
    <col min="12804" max="12804" width="12.5703125" style="367" customWidth="1"/>
    <col min="12805" max="13058" width="9.140625" style="367"/>
    <col min="13059" max="13059" width="11.7109375" style="367" bestFit="1" customWidth="1"/>
    <col min="13060" max="13060" width="12.5703125" style="367" customWidth="1"/>
    <col min="13061" max="13314" width="9.140625" style="367"/>
    <col min="13315" max="13315" width="11.7109375" style="367" bestFit="1" customWidth="1"/>
    <col min="13316" max="13316" width="12.5703125" style="367" customWidth="1"/>
    <col min="13317" max="13570" width="9.140625" style="367"/>
    <col min="13571" max="13571" width="11.7109375" style="367" bestFit="1" customWidth="1"/>
    <col min="13572" max="13572" width="12.5703125" style="367" customWidth="1"/>
    <col min="13573" max="13826" width="9.140625" style="367"/>
    <col min="13827" max="13827" width="11.7109375" style="367" bestFit="1" customWidth="1"/>
    <col min="13828" max="13828" width="12.5703125" style="367" customWidth="1"/>
    <col min="13829" max="14082" width="9.140625" style="367"/>
    <col min="14083" max="14083" width="11.7109375" style="367" bestFit="1" customWidth="1"/>
    <col min="14084" max="14084" width="12.5703125" style="367" customWidth="1"/>
    <col min="14085" max="14338" width="9.140625" style="367"/>
    <col min="14339" max="14339" width="11.7109375" style="367" bestFit="1" customWidth="1"/>
    <col min="14340" max="14340" width="12.5703125" style="367" customWidth="1"/>
    <col min="14341" max="14594" width="9.140625" style="367"/>
    <col min="14595" max="14595" width="11.7109375" style="367" bestFit="1" customWidth="1"/>
    <col min="14596" max="14596" width="12.5703125" style="367" customWidth="1"/>
    <col min="14597" max="14850" width="9.140625" style="367"/>
    <col min="14851" max="14851" width="11.7109375" style="367" bestFit="1" customWidth="1"/>
    <col min="14852" max="14852" width="12.5703125" style="367" customWidth="1"/>
    <col min="14853" max="15106" width="9.140625" style="367"/>
    <col min="15107" max="15107" width="11.7109375" style="367" bestFit="1" customWidth="1"/>
    <col min="15108" max="15108" width="12.5703125" style="367" customWidth="1"/>
    <col min="15109" max="15362" width="9.140625" style="367"/>
    <col min="15363" max="15363" width="11.7109375" style="367" bestFit="1" customWidth="1"/>
    <col min="15364" max="15364" width="12.5703125" style="367" customWidth="1"/>
    <col min="15365" max="15618" width="9.140625" style="367"/>
    <col min="15619" max="15619" width="11.7109375" style="367" bestFit="1" customWidth="1"/>
    <col min="15620" max="15620" width="12.5703125" style="367" customWidth="1"/>
    <col min="15621" max="15874" width="9.140625" style="367"/>
    <col min="15875" max="15875" width="11.7109375" style="367" bestFit="1" customWidth="1"/>
    <col min="15876" max="15876" width="12.5703125" style="367" customWidth="1"/>
    <col min="15877" max="16130" width="9.140625" style="367"/>
    <col min="16131" max="16131" width="11.7109375" style="367" bestFit="1" customWidth="1"/>
    <col min="16132" max="16132" width="12.5703125" style="367" customWidth="1"/>
    <col min="16133" max="16384" width="9.140625" style="367"/>
  </cols>
  <sheetData>
    <row r="1" spans="2:6" x14ac:dyDescent="0.25">
      <c r="C1" s="368" t="s">
        <v>675</v>
      </c>
      <c r="D1" s="369" t="s">
        <v>676</v>
      </c>
    </row>
    <row r="2" spans="2:6" x14ac:dyDescent="0.25">
      <c r="C2" s="370">
        <v>0</v>
      </c>
      <c r="D2" s="371">
        <v>0</v>
      </c>
      <c r="E2" s="372">
        <v>0.01</v>
      </c>
      <c r="F2" s="367" t="s">
        <v>677</v>
      </c>
    </row>
    <row r="3" spans="2:6" x14ac:dyDescent="0.25">
      <c r="C3" s="373">
        <v>1</v>
      </c>
      <c r="D3" s="374">
        <v>0</v>
      </c>
    </row>
    <row r="4" spans="2:6" x14ac:dyDescent="0.25">
      <c r="C4" s="373">
        <v>2</v>
      </c>
      <c r="D4" s="374">
        <v>0</v>
      </c>
    </row>
    <row r="5" spans="2:6" x14ac:dyDescent="0.25">
      <c r="C5" s="373">
        <v>3</v>
      </c>
      <c r="D5" s="374">
        <v>0</v>
      </c>
    </row>
    <row r="6" spans="2:6" x14ac:dyDescent="0.25">
      <c r="C6" s="373">
        <v>4</v>
      </c>
      <c r="D6" s="374">
        <v>0</v>
      </c>
    </row>
    <row r="7" spans="2:6" x14ac:dyDescent="0.25">
      <c r="C7" s="373">
        <v>5</v>
      </c>
      <c r="D7" s="374">
        <v>0</v>
      </c>
    </row>
    <row r="8" spans="2:6" x14ac:dyDescent="0.25">
      <c r="C8" s="373">
        <v>6</v>
      </c>
      <c r="D8" s="374">
        <v>0</v>
      </c>
    </row>
    <row r="9" spans="2:6" x14ac:dyDescent="0.25">
      <c r="C9" s="373">
        <v>7</v>
      </c>
      <c r="D9" s="374">
        <v>0</v>
      </c>
    </row>
    <row r="10" spans="2:6" x14ac:dyDescent="0.25">
      <c r="C10" s="373">
        <v>8</v>
      </c>
      <c r="D10" s="374">
        <v>0</v>
      </c>
    </row>
    <row r="11" spans="2:6" x14ac:dyDescent="0.25">
      <c r="C11" s="373">
        <v>9</v>
      </c>
      <c r="D11" s="374">
        <v>0</v>
      </c>
    </row>
    <row r="12" spans="2:6" x14ac:dyDescent="0.25">
      <c r="C12" s="373">
        <v>10</v>
      </c>
      <c r="D12" s="374">
        <v>0</v>
      </c>
    </row>
    <row r="13" spans="2:6" x14ac:dyDescent="0.25">
      <c r="C13" s="373">
        <v>11</v>
      </c>
      <c r="D13" s="374">
        <v>0</v>
      </c>
    </row>
    <row r="14" spans="2:6" x14ac:dyDescent="0.25">
      <c r="C14" s="373">
        <v>12</v>
      </c>
      <c r="D14" s="374">
        <v>0</v>
      </c>
    </row>
    <row r="15" spans="2:6" x14ac:dyDescent="0.25">
      <c r="B15" s="367">
        <f>+C15</f>
        <v>13</v>
      </c>
      <c r="C15" s="370">
        <v>13</v>
      </c>
      <c r="D15" s="374">
        <v>0</v>
      </c>
    </row>
    <row r="16" spans="2:6" x14ac:dyDescent="0.25">
      <c r="C16" s="373">
        <v>14</v>
      </c>
      <c r="D16" s="374">
        <v>0</v>
      </c>
    </row>
    <row r="17" spans="2:4" x14ac:dyDescent="0.25">
      <c r="C17" s="373">
        <v>15</v>
      </c>
      <c r="D17" s="374">
        <v>0</v>
      </c>
    </row>
    <row r="18" spans="2:4" x14ac:dyDescent="0.25">
      <c r="C18" s="373">
        <v>16</v>
      </c>
      <c r="D18" s="374">
        <v>0</v>
      </c>
    </row>
    <row r="19" spans="2:4" x14ac:dyDescent="0.25">
      <c r="C19" s="373">
        <v>17</v>
      </c>
      <c r="D19" s="374">
        <v>0</v>
      </c>
    </row>
    <row r="20" spans="2:4" x14ac:dyDescent="0.25">
      <c r="C20" s="373">
        <v>18</v>
      </c>
      <c r="D20" s="374">
        <v>0</v>
      </c>
    </row>
    <row r="21" spans="2:4" x14ac:dyDescent="0.25">
      <c r="C21" s="373">
        <v>19</v>
      </c>
      <c r="D21" s="374">
        <v>0</v>
      </c>
    </row>
    <row r="22" spans="2:4" x14ac:dyDescent="0.25">
      <c r="C22" s="373">
        <v>20</v>
      </c>
      <c r="D22" s="374">
        <v>0</v>
      </c>
    </row>
    <row r="23" spans="2:4" x14ac:dyDescent="0.25">
      <c r="C23" s="373">
        <v>21</v>
      </c>
      <c r="D23" s="374">
        <v>0</v>
      </c>
    </row>
    <row r="24" spans="2:4" x14ac:dyDescent="0.25">
      <c r="C24" s="373">
        <v>22</v>
      </c>
      <c r="D24" s="374">
        <v>0</v>
      </c>
    </row>
    <row r="25" spans="2:4" x14ac:dyDescent="0.25">
      <c r="C25" s="373">
        <v>23</v>
      </c>
      <c r="D25" s="374">
        <v>0</v>
      </c>
    </row>
    <row r="26" spans="2:4" x14ac:dyDescent="0.25">
      <c r="C26" s="373">
        <v>24</v>
      </c>
      <c r="D26" s="374">
        <v>0</v>
      </c>
    </row>
    <row r="27" spans="2:4" x14ac:dyDescent="0.25">
      <c r="B27" s="367">
        <f>B15+12</f>
        <v>25</v>
      </c>
      <c r="C27" s="370">
        <v>25</v>
      </c>
      <c r="D27" s="374">
        <v>0</v>
      </c>
    </row>
    <row r="28" spans="2:4" x14ac:dyDescent="0.25">
      <c r="C28" s="373">
        <v>26</v>
      </c>
      <c r="D28" s="374">
        <v>0</v>
      </c>
    </row>
    <row r="29" spans="2:4" x14ac:dyDescent="0.25">
      <c r="C29" s="373">
        <v>27</v>
      </c>
      <c r="D29" s="374">
        <v>0</v>
      </c>
    </row>
    <row r="30" spans="2:4" x14ac:dyDescent="0.25">
      <c r="C30" s="373">
        <v>28</v>
      </c>
      <c r="D30" s="374">
        <v>0</v>
      </c>
    </row>
    <row r="31" spans="2:4" x14ac:dyDescent="0.25">
      <c r="C31" s="373">
        <v>29</v>
      </c>
      <c r="D31" s="374">
        <v>0</v>
      </c>
    </row>
    <row r="32" spans="2:4" x14ac:dyDescent="0.25">
      <c r="C32" s="373">
        <v>30</v>
      </c>
      <c r="D32" s="374">
        <v>0</v>
      </c>
    </row>
    <row r="33" spans="2:4" x14ac:dyDescent="0.25">
      <c r="C33" s="373">
        <v>31</v>
      </c>
      <c r="D33" s="374">
        <v>0</v>
      </c>
    </row>
    <row r="34" spans="2:4" x14ac:dyDescent="0.25">
      <c r="C34" s="373">
        <v>32</v>
      </c>
      <c r="D34" s="374">
        <v>0</v>
      </c>
    </row>
    <row r="35" spans="2:4" x14ac:dyDescent="0.25">
      <c r="C35" s="373">
        <v>33</v>
      </c>
      <c r="D35" s="374">
        <v>0</v>
      </c>
    </row>
    <row r="36" spans="2:4" x14ac:dyDescent="0.25">
      <c r="C36" s="373">
        <v>34</v>
      </c>
      <c r="D36" s="374">
        <v>0</v>
      </c>
    </row>
    <row r="37" spans="2:4" x14ac:dyDescent="0.25">
      <c r="C37" s="373">
        <v>35</v>
      </c>
      <c r="D37" s="374">
        <v>0</v>
      </c>
    </row>
    <row r="38" spans="2:4" x14ac:dyDescent="0.25">
      <c r="C38" s="373">
        <v>36</v>
      </c>
      <c r="D38" s="374">
        <v>0</v>
      </c>
    </row>
    <row r="39" spans="2:4" x14ac:dyDescent="0.25">
      <c r="B39" s="367">
        <f>B27+12</f>
        <v>37</v>
      </c>
      <c r="C39" s="370">
        <v>37</v>
      </c>
      <c r="D39" s="371">
        <v>0.03</v>
      </c>
    </row>
    <row r="40" spans="2:4" x14ac:dyDescent="0.25">
      <c r="C40" s="373">
        <v>38</v>
      </c>
      <c r="D40" s="374">
        <f>$D$39</f>
        <v>0.03</v>
      </c>
    </row>
    <row r="41" spans="2:4" x14ac:dyDescent="0.25">
      <c r="C41" s="373">
        <v>39</v>
      </c>
      <c r="D41" s="374">
        <f t="shared" ref="D41:D50" si="0">$D$39</f>
        <v>0.03</v>
      </c>
    </row>
    <row r="42" spans="2:4" x14ac:dyDescent="0.25">
      <c r="C42" s="373">
        <v>40</v>
      </c>
      <c r="D42" s="374">
        <f t="shared" si="0"/>
        <v>0.03</v>
      </c>
    </row>
    <row r="43" spans="2:4" x14ac:dyDescent="0.25">
      <c r="C43" s="373">
        <v>41</v>
      </c>
      <c r="D43" s="374">
        <f t="shared" si="0"/>
        <v>0.03</v>
      </c>
    </row>
    <row r="44" spans="2:4" x14ac:dyDescent="0.25">
      <c r="C44" s="373">
        <v>42</v>
      </c>
      <c r="D44" s="374">
        <f t="shared" si="0"/>
        <v>0.03</v>
      </c>
    </row>
    <row r="45" spans="2:4" x14ac:dyDescent="0.25">
      <c r="C45" s="373">
        <v>43</v>
      </c>
      <c r="D45" s="374">
        <f t="shared" si="0"/>
        <v>0.03</v>
      </c>
    </row>
    <row r="46" spans="2:4" x14ac:dyDescent="0.25">
      <c r="C46" s="373">
        <v>44</v>
      </c>
      <c r="D46" s="374">
        <f t="shared" si="0"/>
        <v>0.03</v>
      </c>
    </row>
    <row r="47" spans="2:4" x14ac:dyDescent="0.25">
      <c r="C47" s="373">
        <v>45</v>
      </c>
      <c r="D47" s="374">
        <f t="shared" si="0"/>
        <v>0.03</v>
      </c>
    </row>
    <row r="48" spans="2:4" x14ac:dyDescent="0.25">
      <c r="C48" s="373">
        <v>46</v>
      </c>
      <c r="D48" s="374">
        <f t="shared" si="0"/>
        <v>0.03</v>
      </c>
    </row>
    <row r="49" spans="2:4" x14ac:dyDescent="0.25">
      <c r="C49" s="373">
        <v>47</v>
      </c>
      <c r="D49" s="374">
        <f t="shared" si="0"/>
        <v>0.03</v>
      </c>
    </row>
    <row r="50" spans="2:4" x14ac:dyDescent="0.25">
      <c r="C50" s="373">
        <v>48</v>
      </c>
      <c r="D50" s="374">
        <f t="shared" si="0"/>
        <v>0.03</v>
      </c>
    </row>
    <row r="51" spans="2:4" x14ac:dyDescent="0.25">
      <c r="B51" s="367">
        <f>B39+12</f>
        <v>49</v>
      </c>
      <c r="C51" s="370">
        <v>49</v>
      </c>
      <c r="D51" s="371">
        <f>D39+$E$2</f>
        <v>0.04</v>
      </c>
    </row>
    <row r="52" spans="2:4" x14ac:dyDescent="0.25">
      <c r="C52" s="373">
        <v>50</v>
      </c>
      <c r="D52" s="374">
        <f>$D$51</f>
        <v>0.04</v>
      </c>
    </row>
    <row r="53" spans="2:4" x14ac:dyDescent="0.25">
      <c r="C53" s="373">
        <v>51</v>
      </c>
      <c r="D53" s="374">
        <f t="shared" ref="D53:D62" si="1">$D$51</f>
        <v>0.04</v>
      </c>
    </row>
    <row r="54" spans="2:4" x14ac:dyDescent="0.25">
      <c r="C54" s="373">
        <v>52</v>
      </c>
      <c r="D54" s="374">
        <f t="shared" si="1"/>
        <v>0.04</v>
      </c>
    </row>
    <row r="55" spans="2:4" x14ac:dyDescent="0.25">
      <c r="C55" s="373">
        <v>53</v>
      </c>
      <c r="D55" s="374">
        <f t="shared" si="1"/>
        <v>0.04</v>
      </c>
    </row>
    <row r="56" spans="2:4" x14ac:dyDescent="0.25">
      <c r="C56" s="373">
        <v>54</v>
      </c>
      <c r="D56" s="374">
        <f t="shared" si="1"/>
        <v>0.04</v>
      </c>
    </row>
    <row r="57" spans="2:4" x14ac:dyDescent="0.25">
      <c r="C57" s="373">
        <v>55</v>
      </c>
      <c r="D57" s="374">
        <f t="shared" si="1"/>
        <v>0.04</v>
      </c>
    </row>
    <row r="58" spans="2:4" x14ac:dyDescent="0.25">
      <c r="C58" s="373">
        <v>56</v>
      </c>
      <c r="D58" s="374">
        <f t="shared" si="1"/>
        <v>0.04</v>
      </c>
    </row>
    <row r="59" spans="2:4" x14ac:dyDescent="0.25">
      <c r="C59" s="373">
        <v>57</v>
      </c>
      <c r="D59" s="374">
        <f t="shared" si="1"/>
        <v>0.04</v>
      </c>
    </row>
    <row r="60" spans="2:4" x14ac:dyDescent="0.25">
      <c r="C60" s="373">
        <v>58</v>
      </c>
      <c r="D60" s="374">
        <f t="shared" si="1"/>
        <v>0.04</v>
      </c>
    </row>
    <row r="61" spans="2:4" x14ac:dyDescent="0.25">
      <c r="C61" s="373">
        <v>59</v>
      </c>
      <c r="D61" s="374">
        <f t="shared" si="1"/>
        <v>0.04</v>
      </c>
    </row>
    <row r="62" spans="2:4" x14ac:dyDescent="0.25">
      <c r="C62" s="373">
        <v>60</v>
      </c>
      <c r="D62" s="374">
        <f t="shared" si="1"/>
        <v>0.04</v>
      </c>
    </row>
    <row r="63" spans="2:4" x14ac:dyDescent="0.25">
      <c r="B63" s="367">
        <f>B51+12</f>
        <v>61</v>
      </c>
      <c r="C63" s="370">
        <v>61</v>
      </c>
      <c r="D63" s="371">
        <f>D51+$E$2</f>
        <v>0.05</v>
      </c>
    </row>
    <row r="64" spans="2:4" x14ac:dyDescent="0.25">
      <c r="C64" s="373">
        <v>62</v>
      </c>
      <c r="D64" s="374">
        <f>$D$63</f>
        <v>0.05</v>
      </c>
    </row>
    <row r="65" spans="2:4" x14ac:dyDescent="0.25">
      <c r="C65" s="373">
        <v>63</v>
      </c>
      <c r="D65" s="374">
        <f t="shared" ref="D65:D74" si="2">$D$63</f>
        <v>0.05</v>
      </c>
    </row>
    <row r="66" spans="2:4" x14ac:dyDescent="0.25">
      <c r="C66" s="373">
        <v>64</v>
      </c>
      <c r="D66" s="374">
        <f t="shared" si="2"/>
        <v>0.05</v>
      </c>
    </row>
    <row r="67" spans="2:4" x14ac:dyDescent="0.25">
      <c r="C67" s="373">
        <v>65</v>
      </c>
      <c r="D67" s="374">
        <f t="shared" si="2"/>
        <v>0.05</v>
      </c>
    </row>
    <row r="68" spans="2:4" x14ac:dyDescent="0.25">
      <c r="C68" s="373">
        <v>66</v>
      </c>
      <c r="D68" s="374">
        <f t="shared" si="2"/>
        <v>0.05</v>
      </c>
    </row>
    <row r="69" spans="2:4" x14ac:dyDescent="0.25">
      <c r="C69" s="373">
        <v>67</v>
      </c>
      <c r="D69" s="374">
        <f t="shared" si="2"/>
        <v>0.05</v>
      </c>
    </row>
    <row r="70" spans="2:4" x14ac:dyDescent="0.25">
      <c r="C70" s="373">
        <v>68</v>
      </c>
      <c r="D70" s="374">
        <f t="shared" si="2"/>
        <v>0.05</v>
      </c>
    </row>
    <row r="71" spans="2:4" x14ac:dyDescent="0.25">
      <c r="C71" s="373">
        <v>69</v>
      </c>
      <c r="D71" s="374">
        <f t="shared" si="2"/>
        <v>0.05</v>
      </c>
    </row>
    <row r="72" spans="2:4" x14ac:dyDescent="0.25">
      <c r="C72" s="373">
        <v>70</v>
      </c>
      <c r="D72" s="374">
        <f t="shared" si="2"/>
        <v>0.05</v>
      </c>
    </row>
    <row r="73" spans="2:4" x14ac:dyDescent="0.25">
      <c r="C73" s="373">
        <v>71</v>
      </c>
      <c r="D73" s="374">
        <f t="shared" si="2"/>
        <v>0.05</v>
      </c>
    </row>
    <row r="74" spans="2:4" x14ac:dyDescent="0.25">
      <c r="C74" s="373">
        <v>72</v>
      </c>
      <c r="D74" s="374">
        <f t="shared" si="2"/>
        <v>0.05</v>
      </c>
    </row>
    <row r="75" spans="2:4" x14ac:dyDescent="0.25">
      <c r="B75" s="367">
        <f>B63+12</f>
        <v>73</v>
      </c>
      <c r="C75" s="370">
        <v>73</v>
      </c>
      <c r="D75" s="371">
        <f>D63+$E$2</f>
        <v>6.0000000000000005E-2</v>
      </c>
    </row>
    <row r="76" spans="2:4" x14ac:dyDescent="0.25">
      <c r="C76" s="373">
        <v>74</v>
      </c>
      <c r="D76" s="374">
        <f>$D$75</f>
        <v>6.0000000000000005E-2</v>
      </c>
    </row>
    <row r="77" spans="2:4" x14ac:dyDescent="0.25">
      <c r="C77" s="373">
        <v>75</v>
      </c>
      <c r="D77" s="374">
        <f t="shared" ref="D77:D86" si="3">$D$75</f>
        <v>6.0000000000000005E-2</v>
      </c>
    </row>
    <row r="78" spans="2:4" x14ac:dyDescent="0.25">
      <c r="C78" s="373">
        <v>76</v>
      </c>
      <c r="D78" s="374">
        <f t="shared" si="3"/>
        <v>6.0000000000000005E-2</v>
      </c>
    </row>
    <row r="79" spans="2:4" x14ac:dyDescent="0.25">
      <c r="C79" s="373">
        <v>77</v>
      </c>
      <c r="D79" s="374">
        <f t="shared" si="3"/>
        <v>6.0000000000000005E-2</v>
      </c>
    </row>
    <row r="80" spans="2:4" x14ac:dyDescent="0.25">
      <c r="C80" s="373">
        <v>78</v>
      </c>
      <c r="D80" s="374">
        <f t="shared" si="3"/>
        <v>6.0000000000000005E-2</v>
      </c>
    </row>
    <row r="81" spans="2:4" x14ac:dyDescent="0.25">
      <c r="C81" s="373">
        <v>79</v>
      </c>
      <c r="D81" s="374">
        <f t="shared" si="3"/>
        <v>6.0000000000000005E-2</v>
      </c>
    </row>
    <row r="82" spans="2:4" x14ac:dyDescent="0.25">
      <c r="C82" s="373">
        <v>80</v>
      </c>
      <c r="D82" s="374">
        <f t="shared" si="3"/>
        <v>6.0000000000000005E-2</v>
      </c>
    </row>
    <row r="83" spans="2:4" x14ac:dyDescent="0.25">
      <c r="C83" s="373">
        <v>81</v>
      </c>
      <c r="D83" s="374">
        <f t="shared" si="3"/>
        <v>6.0000000000000005E-2</v>
      </c>
    </row>
    <row r="84" spans="2:4" x14ac:dyDescent="0.25">
      <c r="C84" s="373">
        <v>82</v>
      </c>
      <c r="D84" s="374">
        <f t="shared" si="3"/>
        <v>6.0000000000000005E-2</v>
      </c>
    </row>
    <row r="85" spans="2:4" x14ac:dyDescent="0.25">
      <c r="C85" s="373">
        <v>83</v>
      </c>
      <c r="D85" s="374">
        <f t="shared" si="3"/>
        <v>6.0000000000000005E-2</v>
      </c>
    </row>
    <row r="86" spans="2:4" x14ac:dyDescent="0.25">
      <c r="C86" s="373">
        <v>84</v>
      </c>
      <c r="D86" s="374">
        <f t="shared" si="3"/>
        <v>6.0000000000000005E-2</v>
      </c>
    </row>
    <row r="87" spans="2:4" x14ac:dyDescent="0.25">
      <c r="B87" s="367">
        <f>B75+12</f>
        <v>85</v>
      </c>
      <c r="C87" s="370">
        <v>85</v>
      </c>
      <c r="D87" s="371">
        <f>D75+$E$2</f>
        <v>7.0000000000000007E-2</v>
      </c>
    </row>
    <row r="88" spans="2:4" x14ac:dyDescent="0.25">
      <c r="C88" s="373">
        <v>86</v>
      </c>
      <c r="D88" s="374">
        <f>$D$87</f>
        <v>7.0000000000000007E-2</v>
      </c>
    </row>
    <row r="89" spans="2:4" x14ac:dyDescent="0.25">
      <c r="C89" s="373">
        <v>87</v>
      </c>
      <c r="D89" s="374">
        <f t="shared" ref="D89:D98" si="4">$D$87</f>
        <v>7.0000000000000007E-2</v>
      </c>
    </row>
    <row r="90" spans="2:4" x14ac:dyDescent="0.25">
      <c r="C90" s="373">
        <v>88</v>
      </c>
      <c r="D90" s="374">
        <f t="shared" si="4"/>
        <v>7.0000000000000007E-2</v>
      </c>
    </row>
    <row r="91" spans="2:4" x14ac:dyDescent="0.25">
      <c r="C91" s="373">
        <v>89</v>
      </c>
      <c r="D91" s="374">
        <f t="shared" si="4"/>
        <v>7.0000000000000007E-2</v>
      </c>
    </row>
    <row r="92" spans="2:4" x14ac:dyDescent="0.25">
      <c r="C92" s="373">
        <v>90</v>
      </c>
      <c r="D92" s="374">
        <f t="shared" si="4"/>
        <v>7.0000000000000007E-2</v>
      </c>
    </row>
    <row r="93" spans="2:4" x14ac:dyDescent="0.25">
      <c r="C93" s="373">
        <v>91</v>
      </c>
      <c r="D93" s="374">
        <f t="shared" si="4"/>
        <v>7.0000000000000007E-2</v>
      </c>
    </row>
    <row r="94" spans="2:4" x14ac:dyDescent="0.25">
      <c r="C94" s="373">
        <v>92</v>
      </c>
      <c r="D94" s="374">
        <f t="shared" si="4"/>
        <v>7.0000000000000007E-2</v>
      </c>
    </row>
    <row r="95" spans="2:4" x14ac:dyDescent="0.25">
      <c r="C95" s="373">
        <v>93</v>
      </c>
      <c r="D95" s="374">
        <f t="shared" si="4"/>
        <v>7.0000000000000007E-2</v>
      </c>
    </row>
    <row r="96" spans="2:4" x14ac:dyDescent="0.25">
      <c r="C96" s="373">
        <v>94</v>
      </c>
      <c r="D96" s="374">
        <f t="shared" si="4"/>
        <v>7.0000000000000007E-2</v>
      </c>
    </row>
    <row r="97" spans="2:4" x14ac:dyDescent="0.25">
      <c r="C97" s="373">
        <v>95</v>
      </c>
      <c r="D97" s="374">
        <f t="shared" si="4"/>
        <v>7.0000000000000007E-2</v>
      </c>
    </row>
    <row r="98" spans="2:4" x14ac:dyDescent="0.25">
      <c r="C98" s="373">
        <v>96</v>
      </c>
      <c r="D98" s="374">
        <f t="shared" si="4"/>
        <v>7.0000000000000007E-2</v>
      </c>
    </row>
    <row r="99" spans="2:4" x14ac:dyDescent="0.25">
      <c r="B99" s="367">
        <f>B87+12</f>
        <v>97</v>
      </c>
      <c r="C99" s="370">
        <v>97</v>
      </c>
      <c r="D99" s="371">
        <f>D87+$E$2</f>
        <v>0.08</v>
      </c>
    </row>
    <row r="100" spans="2:4" x14ac:dyDescent="0.25">
      <c r="C100" s="373">
        <v>98</v>
      </c>
      <c r="D100" s="374">
        <f>$D$99</f>
        <v>0.08</v>
      </c>
    </row>
    <row r="101" spans="2:4" x14ac:dyDescent="0.25">
      <c r="C101" s="373">
        <v>99</v>
      </c>
      <c r="D101" s="374">
        <f t="shared" ref="D101:D110" si="5">$D$99</f>
        <v>0.08</v>
      </c>
    </row>
    <row r="102" spans="2:4" x14ac:dyDescent="0.25">
      <c r="C102" s="373">
        <v>100</v>
      </c>
      <c r="D102" s="374">
        <f t="shared" si="5"/>
        <v>0.08</v>
      </c>
    </row>
    <row r="103" spans="2:4" x14ac:dyDescent="0.25">
      <c r="C103" s="373">
        <v>101</v>
      </c>
      <c r="D103" s="374">
        <f t="shared" si="5"/>
        <v>0.08</v>
      </c>
    </row>
    <row r="104" spans="2:4" x14ac:dyDescent="0.25">
      <c r="C104" s="373">
        <v>102</v>
      </c>
      <c r="D104" s="374">
        <f t="shared" si="5"/>
        <v>0.08</v>
      </c>
    </row>
    <row r="105" spans="2:4" x14ac:dyDescent="0.25">
      <c r="C105" s="373">
        <v>103</v>
      </c>
      <c r="D105" s="374">
        <f t="shared" si="5"/>
        <v>0.08</v>
      </c>
    </row>
    <row r="106" spans="2:4" x14ac:dyDescent="0.25">
      <c r="C106" s="373">
        <v>104</v>
      </c>
      <c r="D106" s="374">
        <f t="shared" si="5"/>
        <v>0.08</v>
      </c>
    </row>
    <row r="107" spans="2:4" x14ac:dyDescent="0.25">
      <c r="C107" s="373">
        <v>105</v>
      </c>
      <c r="D107" s="374">
        <f t="shared" si="5"/>
        <v>0.08</v>
      </c>
    </row>
    <row r="108" spans="2:4" x14ac:dyDescent="0.25">
      <c r="C108" s="373">
        <v>106</v>
      </c>
      <c r="D108" s="374">
        <f t="shared" si="5"/>
        <v>0.08</v>
      </c>
    </row>
    <row r="109" spans="2:4" x14ac:dyDescent="0.25">
      <c r="C109" s="373">
        <v>107</v>
      </c>
      <c r="D109" s="374">
        <f t="shared" si="5"/>
        <v>0.08</v>
      </c>
    </row>
    <row r="110" spans="2:4" x14ac:dyDescent="0.25">
      <c r="C110" s="373">
        <v>108</v>
      </c>
      <c r="D110" s="374">
        <f t="shared" si="5"/>
        <v>0.08</v>
      </c>
    </row>
    <row r="111" spans="2:4" x14ac:dyDescent="0.25">
      <c r="B111" s="367">
        <f>B99+12</f>
        <v>109</v>
      </c>
      <c r="C111" s="370">
        <v>109</v>
      </c>
      <c r="D111" s="371">
        <f>D99+$E$2</f>
        <v>0.09</v>
      </c>
    </row>
    <row r="112" spans="2:4" x14ac:dyDescent="0.25">
      <c r="C112" s="373">
        <v>110</v>
      </c>
      <c r="D112" s="374">
        <f>$D$111</f>
        <v>0.09</v>
      </c>
    </row>
    <row r="113" spans="2:4" x14ac:dyDescent="0.25">
      <c r="C113" s="373">
        <v>111</v>
      </c>
      <c r="D113" s="374">
        <f t="shared" ref="D113:D122" si="6">$D$111</f>
        <v>0.09</v>
      </c>
    </row>
    <row r="114" spans="2:4" x14ac:dyDescent="0.25">
      <c r="C114" s="373">
        <v>112</v>
      </c>
      <c r="D114" s="374">
        <f t="shared" si="6"/>
        <v>0.09</v>
      </c>
    </row>
    <row r="115" spans="2:4" x14ac:dyDescent="0.25">
      <c r="C115" s="373">
        <v>113</v>
      </c>
      <c r="D115" s="374">
        <f t="shared" si="6"/>
        <v>0.09</v>
      </c>
    </row>
    <row r="116" spans="2:4" x14ac:dyDescent="0.25">
      <c r="C116" s="373">
        <v>114</v>
      </c>
      <c r="D116" s="374">
        <f t="shared" si="6"/>
        <v>0.09</v>
      </c>
    </row>
    <row r="117" spans="2:4" x14ac:dyDescent="0.25">
      <c r="C117" s="373">
        <v>115</v>
      </c>
      <c r="D117" s="374">
        <f t="shared" si="6"/>
        <v>0.09</v>
      </c>
    </row>
    <row r="118" spans="2:4" x14ac:dyDescent="0.25">
      <c r="C118" s="373">
        <v>116</v>
      </c>
      <c r="D118" s="374">
        <f t="shared" si="6"/>
        <v>0.09</v>
      </c>
    </row>
    <row r="119" spans="2:4" x14ac:dyDescent="0.25">
      <c r="C119" s="373">
        <v>117</v>
      </c>
      <c r="D119" s="374">
        <f t="shared" si="6"/>
        <v>0.09</v>
      </c>
    </row>
    <row r="120" spans="2:4" x14ac:dyDescent="0.25">
      <c r="C120" s="373">
        <v>118</v>
      </c>
      <c r="D120" s="374">
        <f t="shared" si="6"/>
        <v>0.09</v>
      </c>
    </row>
    <row r="121" spans="2:4" x14ac:dyDescent="0.25">
      <c r="C121" s="373">
        <v>119</v>
      </c>
      <c r="D121" s="374">
        <f t="shared" si="6"/>
        <v>0.09</v>
      </c>
    </row>
    <row r="122" spans="2:4" x14ac:dyDescent="0.25">
      <c r="C122" s="373">
        <v>120</v>
      </c>
      <c r="D122" s="374">
        <f t="shared" si="6"/>
        <v>0.09</v>
      </c>
    </row>
    <row r="123" spans="2:4" x14ac:dyDescent="0.25">
      <c r="B123" s="367">
        <f>B111+12</f>
        <v>121</v>
      </c>
      <c r="C123" s="370">
        <v>121</v>
      </c>
      <c r="D123" s="371">
        <f>D111+$E$2</f>
        <v>9.9999999999999992E-2</v>
      </c>
    </row>
    <row r="124" spans="2:4" x14ac:dyDescent="0.25">
      <c r="C124" s="373">
        <v>122</v>
      </c>
      <c r="D124" s="374">
        <f>$D$123</f>
        <v>9.9999999999999992E-2</v>
      </c>
    </row>
    <row r="125" spans="2:4" x14ac:dyDescent="0.25">
      <c r="C125" s="373">
        <v>123</v>
      </c>
      <c r="D125" s="374">
        <f t="shared" ref="D125:D134" si="7">$D$123</f>
        <v>9.9999999999999992E-2</v>
      </c>
    </row>
    <row r="126" spans="2:4" x14ac:dyDescent="0.25">
      <c r="C126" s="373">
        <v>124</v>
      </c>
      <c r="D126" s="374">
        <f t="shared" si="7"/>
        <v>9.9999999999999992E-2</v>
      </c>
    </row>
    <row r="127" spans="2:4" x14ac:dyDescent="0.25">
      <c r="C127" s="373">
        <v>125</v>
      </c>
      <c r="D127" s="374">
        <f t="shared" si="7"/>
        <v>9.9999999999999992E-2</v>
      </c>
    </row>
    <row r="128" spans="2:4" x14ac:dyDescent="0.25">
      <c r="C128" s="373">
        <v>126</v>
      </c>
      <c r="D128" s="374">
        <f t="shared" si="7"/>
        <v>9.9999999999999992E-2</v>
      </c>
    </row>
    <row r="129" spans="2:4" x14ac:dyDescent="0.25">
      <c r="C129" s="373">
        <v>127</v>
      </c>
      <c r="D129" s="374">
        <f t="shared" si="7"/>
        <v>9.9999999999999992E-2</v>
      </c>
    </row>
    <row r="130" spans="2:4" x14ac:dyDescent="0.25">
      <c r="C130" s="373">
        <v>128</v>
      </c>
      <c r="D130" s="374">
        <f t="shared" si="7"/>
        <v>9.9999999999999992E-2</v>
      </c>
    </row>
    <row r="131" spans="2:4" x14ac:dyDescent="0.25">
      <c r="C131" s="373">
        <v>129</v>
      </c>
      <c r="D131" s="374">
        <f t="shared" si="7"/>
        <v>9.9999999999999992E-2</v>
      </c>
    </row>
    <row r="132" spans="2:4" x14ac:dyDescent="0.25">
      <c r="C132" s="373">
        <v>130</v>
      </c>
      <c r="D132" s="374">
        <f t="shared" si="7"/>
        <v>9.9999999999999992E-2</v>
      </c>
    </row>
    <row r="133" spans="2:4" x14ac:dyDescent="0.25">
      <c r="C133" s="373">
        <v>131</v>
      </c>
      <c r="D133" s="374">
        <f t="shared" si="7"/>
        <v>9.9999999999999992E-2</v>
      </c>
    </row>
    <row r="134" spans="2:4" x14ac:dyDescent="0.25">
      <c r="C134" s="373">
        <v>132</v>
      </c>
      <c r="D134" s="374">
        <f t="shared" si="7"/>
        <v>9.9999999999999992E-2</v>
      </c>
    </row>
    <row r="135" spans="2:4" x14ac:dyDescent="0.25">
      <c r="B135" s="367">
        <f>B123+12</f>
        <v>133</v>
      </c>
      <c r="C135" s="370">
        <v>133</v>
      </c>
      <c r="D135" s="371">
        <f>D123+$E$2</f>
        <v>0.10999999999999999</v>
      </c>
    </row>
    <row r="136" spans="2:4" x14ac:dyDescent="0.25">
      <c r="C136" s="373">
        <v>134</v>
      </c>
      <c r="D136" s="374">
        <f>$D$135</f>
        <v>0.10999999999999999</v>
      </c>
    </row>
    <row r="137" spans="2:4" x14ac:dyDescent="0.25">
      <c r="C137" s="373">
        <v>135</v>
      </c>
      <c r="D137" s="374">
        <f t="shared" ref="D137:D146" si="8">$D$135</f>
        <v>0.10999999999999999</v>
      </c>
    </row>
    <row r="138" spans="2:4" x14ac:dyDescent="0.25">
      <c r="C138" s="373">
        <v>136</v>
      </c>
      <c r="D138" s="374">
        <f t="shared" si="8"/>
        <v>0.10999999999999999</v>
      </c>
    </row>
    <row r="139" spans="2:4" x14ac:dyDescent="0.25">
      <c r="C139" s="373">
        <v>137</v>
      </c>
      <c r="D139" s="374">
        <f t="shared" si="8"/>
        <v>0.10999999999999999</v>
      </c>
    </row>
    <row r="140" spans="2:4" x14ac:dyDescent="0.25">
      <c r="C140" s="373">
        <v>138</v>
      </c>
      <c r="D140" s="374">
        <f t="shared" si="8"/>
        <v>0.10999999999999999</v>
      </c>
    </row>
    <row r="141" spans="2:4" x14ac:dyDescent="0.25">
      <c r="C141" s="373">
        <v>139</v>
      </c>
      <c r="D141" s="374">
        <f t="shared" si="8"/>
        <v>0.10999999999999999</v>
      </c>
    </row>
    <row r="142" spans="2:4" x14ac:dyDescent="0.25">
      <c r="C142" s="373">
        <v>140</v>
      </c>
      <c r="D142" s="374">
        <f t="shared" si="8"/>
        <v>0.10999999999999999</v>
      </c>
    </row>
    <row r="143" spans="2:4" x14ac:dyDescent="0.25">
      <c r="C143" s="373">
        <v>141</v>
      </c>
      <c r="D143" s="374">
        <f t="shared" si="8"/>
        <v>0.10999999999999999</v>
      </c>
    </row>
    <row r="144" spans="2:4" x14ac:dyDescent="0.25">
      <c r="C144" s="373">
        <v>142</v>
      </c>
      <c r="D144" s="374">
        <f t="shared" si="8"/>
        <v>0.10999999999999999</v>
      </c>
    </row>
    <row r="145" spans="2:4" x14ac:dyDescent="0.25">
      <c r="C145" s="373">
        <v>143</v>
      </c>
      <c r="D145" s="374">
        <f t="shared" si="8"/>
        <v>0.10999999999999999</v>
      </c>
    </row>
    <row r="146" spans="2:4" x14ac:dyDescent="0.25">
      <c r="C146" s="373">
        <v>144</v>
      </c>
      <c r="D146" s="374">
        <f t="shared" si="8"/>
        <v>0.10999999999999999</v>
      </c>
    </row>
    <row r="147" spans="2:4" x14ac:dyDescent="0.25">
      <c r="B147" s="367">
        <f>B135+12</f>
        <v>145</v>
      </c>
      <c r="C147" s="370">
        <v>145</v>
      </c>
      <c r="D147" s="371">
        <f>D135+$E$2</f>
        <v>0.11999999999999998</v>
      </c>
    </row>
    <row r="148" spans="2:4" x14ac:dyDescent="0.25">
      <c r="C148" s="373">
        <v>146</v>
      </c>
      <c r="D148" s="374">
        <f>$D$147</f>
        <v>0.11999999999999998</v>
      </c>
    </row>
    <row r="149" spans="2:4" x14ac:dyDescent="0.25">
      <c r="C149" s="373">
        <v>147</v>
      </c>
      <c r="D149" s="374">
        <f t="shared" ref="D149:D158" si="9">$D$147</f>
        <v>0.11999999999999998</v>
      </c>
    </row>
    <row r="150" spans="2:4" x14ac:dyDescent="0.25">
      <c r="C150" s="373">
        <v>148</v>
      </c>
      <c r="D150" s="374">
        <f t="shared" si="9"/>
        <v>0.11999999999999998</v>
      </c>
    </row>
    <row r="151" spans="2:4" x14ac:dyDescent="0.25">
      <c r="C151" s="373">
        <v>149</v>
      </c>
      <c r="D151" s="374">
        <f t="shared" si="9"/>
        <v>0.11999999999999998</v>
      </c>
    </row>
    <row r="152" spans="2:4" x14ac:dyDescent="0.25">
      <c r="C152" s="373">
        <v>150</v>
      </c>
      <c r="D152" s="374">
        <f t="shared" si="9"/>
        <v>0.11999999999999998</v>
      </c>
    </row>
    <row r="153" spans="2:4" x14ac:dyDescent="0.25">
      <c r="C153" s="373">
        <v>151</v>
      </c>
      <c r="D153" s="374">
        <f t="shared" si="9"/>
        <v>0.11999999999999998</v>
      </c>
    </row>
    <row r="154" spans="2:4" x14ac:dyDescent="0.25">
      <c r="C154" s="373">
        <v>152</v>
      </c>
      <c r="D154" s="374">
        <f t="shared" si="9"/>
        <v>0.11999999999999998</v>
      </c>
    </row>
    <row r="155" spans="2:4" x14ac:dyDescent="0.25">
      <c r="C155" s="373">
        <v>153</v>
      </c>
      <c r="D155" s="374">
        <f t="shared" si="9"/>
        <v>0.11999999999999998</v>
      </c>
    </row>
    <row r="156" spans="2:4" x14ac:dyDescent="0.25">
      <c r="C156" s="373">
        <v>154</v>
      </c>
      <c r="D156" s="374">
        <f t="shared" si="9"/>
        <v>0.11999999999999998</v>
      </c>
    </row>
    <row r="157" spans="2:4" x14ac:dyDescent="0.25">
      <c r="C157" s="373">
        <v>155</v>
      </c>
      <c r="D157" s="374">
        <f t="shared" si="9"/>
        <v>0.11999999999999998</v>
      </c>
    </row>
    <row r="158" spans="2:4" x14ac:dyDescent="0.25">
      <c r="C158" s="373">
        <v>156</v>
      </c>
      <c r="D158" s="374">
        <f t="shared" si="9"/>
        <v>0.11999999999999998</v>
      </c>
    </row>
    <row r="159" spans="2:4" x14ac:dyDescent="0.25">
      <c r="B159" s="367">
        <f>B147+12</f>
        <v>157</v>
      </c>
      <c r="C159" s="370">
        <v>157</v>
      </c>
      <c r="D159" s="371">
        <f>D147+$E$2</f>
        <v>0.12999999999999998</v>
      </c>
    </row>
    <row r="160" spans="2:4" x14ac:dyDescent="0.25">
      <c r="C160" s="373">
        <v>158</v>
      </c>
      <c r="D160" s="374">
        <f>$D$159</f>
        <v>0.12999999999999998</v>
      </c>
    </row>
    <row r="161" spans="2:4" x14ac:dyDescent="0.25">
      <c r="C161" s="373">
        <v>159</v>
      </c>
      <c r="D161" s="374">
        <f t="shared" ref="D161:D170" si="10">$D$159</f>
        <v>0.12999999999999998</v>
      </c>
    </row>
    <row r="162" spans="2:4" x14ac:dyDescent="0.25">
      <c r="C162" s="373">
        <v>160</v>
      </c>
      <c r="D162" s="374">
        <f t="shared" si="10"/>
        <v>0.12999999999999998</v>
      </c>
    </row>
    <row r="163" spans="2:4" x14ac:dyDescent="0.25">
      <c r="C163" s="373">
        <v>161</v>
      </c>
      <c r="D163" s="374">
        <f t="shared" si="10"/>
        <v>0.12999999999999998</v>
      </c>
    </row>
    <row r="164" spans="2:4" x14ac:dyDescent="0.25">
      <c r="C164" s="373">
        <v>162</v>
      </c>
      <c r="D164" s="374">
        <f t="shared" si="10"/>
        <v>0.12999999999999998</v>
      </c>
    </row>
    <row r="165" spans="2:4" x14ac:dyDescent="0.25">
      <c r="C165" s="373">
        <v>163</v>
      </c>
      <c r="D165" s="374">
        <f t="shared" si="10"/>
        <v>0.12999999999999998</v>
      </c>
    </row>
    <row r="166" spans="2:4" x14ac:dyDescent="0.25">
      <c r="C166" s="373">
        <v>164</v>
      </c>
      <c r="D166" s="374">
        <f t="shared" si="10"/>
        <v>0.12999999999999998</v>
      </c>
    </row>
    <row r="167" spans="2:4" x14ac:dyDescent="0.25">
      <c r="C167" s="373">
        <v>165</v>
      </c>
      <c r="D167" s="374">
        <f t="shared" si="10"/>
        <v>0.12999999999999998</v>
      </c>
    </row>
    <row r="168" spans="2:4" x14ac:dyDescent="0.25">
      <c r="C168" s="373">
        <v>166</v>
      </c>
      <c r="D168" s="374">
        <f t="shared" si="10"/>
        <v>0.12999999999999998</v>
      </c>
    </row>
    <row r="169" spans="2:4" x14ac:dyDescent="0.25">
      <c r="C169" s="373">
        <v>167</v>
      </c>
      <c r="D169" s="374">
        <f t="shared" si="10"/>
        <v>0.12999999999999998</v>
      </c>
    </row>
    <row r="170" spans="2:4" x14ac:dyDescent="0.25">
      <c r="C170" s="375">
        <v>168</v>
      </c>
      <c r="D170" s="374">
        <f t="shared" si="10"/>
        <v>0.12999999999999998</v>
      </c>
    </row>
    <row r="171" spans="2:4" ht="16.5" x14ac:dyDescent="0.3">
      <c r="B171" s="367">
        <f>B159+12</f>
        <v>169</v>
      </c>
      <c r="C171" s="376">
        <v>169</v>
      </c>
      <c r="D171" s="371">
        <f>D159+$E$2</f>
        <v>0.13999999999999999</v>
      </c>
    </row>
    <row r="172" spans="2:4" x14ac:dyDescent="0.25">
      <c r="C172" s="373">
        <v>170</v>
      </c>
      <c r="D172" s="374">
        <f>+$D$171</f>
        <v>0.13999999999999999</v>
      </c>
    </row>
    <row r="173" spans="2:4" x14ac:dyDescent="0.25">
      <c r="C173" s="373">
        <v>171</v>
      </c>
      <c r="D173" s="374">
        <f t="shared" ref="D173:D182" si="11">+$D$171</f>
        <v>0.13999999999999999</v>
      </c>
    </row>
    <row r="174" spans="2:4" x14ac:dyDescent="0.25">
      <c r="C174" s="373">
        <v>172</v>
      </c>
      <c r="D174" s="374">
        <f t="shared" si="11"/>
        <v>0.13999999999999999</v>
      </c>
    </row>
    <row r="175" spans="2:4" x14ac:dyDescent="0.25">
      <c r="C175" s="373">
        <v>173</v>
      </c>
      <c r="D175" s="374">
        <f t="shared" si="11"/>
        <v>0.13999999999999999</v>
      </c>
    </row>
    <row r="176" spans="2:4" x14ac:dyDescent="0.25">
      <c r="C176" s="373">
        <v>174</v>
      </c>
      <c r="D176" s="374">
        <f t="shared" si="11"/>
        <v>0.13999999999999999</v>
      </c>
    </row>
    <row r="177" spans="2:4" x14ac:dyDescent="0.25">
      <c r="C177" s="373">
        <v>175</v>
      </c>
      <c r="D177" s="374">
        <f t="shared" si="11"/>
        <v>0.13999999999999999</v>
      </c>
    </row>
    <row r="178" spans="2:4" x14ac:dyDescent="0.25">
      <c r="C178" s="373">
        <v>176</v>
      </c>
      <c r="D178" s="374">
        <f t="shared" si="11"/>
        <v>0.13999999999999999</v>
      </c>
    </row>
    <row r="179" spans="2:4" x14ac:dyDescent="0.25">
      <c r="C179" s="373">
        <v>177</v>
      </c>
      <c r="D179" s="374">
        <f t="shared" si="11"/>
        <v>0.13999999999999999</v>
      </c>
    </row>
    <row r="180" spans="2:4" x14ac:dyDescent="0.25">
      <c r="C180" s="373">
        <v>178</v>
      </c>
      <c r="D180" s="374">
        <f t="shared" si="11"/>
        <v>0.13999999999999999</v>
      </c>
    </row>
    <row r="181" spans="2:4" x14ac:dyDescent="0.25">
      <c r="C181" s="373">
        <v>179</v>
      </c>
      <c r="D181" s="374">
        <f t="shared" si="11"/>
        <v>0.13999999999999999</v>
      </c>
    </row>
    <row r="182" spans="2:4" x14ac:dyDescent="0.25">
      <c r="C182" s="373">
        <v>180</v>
      </c>
      <c r="D182" s="374">
        <f t="shared" si="11"/>
        <v>0.13999999999999999</v>
      </c>
    </row>
    <row r="183" spans="2:4" x14ac:dyDescent="0.25">
      <c r="B183" s="367">
        <f>B171+12</f>
        <v>181</v>
      </c>
      <c r="C183" s="370">
        <v>181</v>
      </c>
      <c r="D183" s="371">
        <f>D171+$E$2</f>
        <v>0.15</v>
      </c>
    </row>
    <row r="184" spans="2:4" x14ac:dyDescent="0.25">
      <c r="C184" s="373">
        <v>182</v>
      </c>
      <c r="D184" s="374">
        <f>$D$183</f>
        <v>0.15</v>
      </c>
    </row>
    <row r="185" spans="2:4" x14ac:dyDescent="0.25">
      <c r="C185" s="373">
        <v>183</v>
      </c>
      <c r="D185" s="374">
        <f t="shared" ref="D185:D194" si="12">$D$183</f>
        <v>0.15</v>
      </c>
    </row>
    <row r="186" spans="2:4" x14ac:dyDescent="0.25">
      <c r="C186" s="373">
        <v>184</v>
      </c>
      <c r="D186" s="374">
        <f t="shared" si="12"/>
        <v>0.15</v>
      </c>
    </row>
    <row r="187" spans="2:4" x14ac:dyDescent="0.25">
      <c r="C187" s="373">
        <v>185</v>
      </c>
      <c r="D187" s="374">
        <f t="shared" si="12"/>
        <v>0.15</v>
      </c>
    </row>
    <row r="188" spans="2:4" x14ac:dyDescent="0.25">
      <c r="C188" s="373">
        <v>186</v>
      </c>
      <c r="D188" s="374">
        <f t="shared" si="12"/>
        <v>0.15</v>
      </c>
    </row>
    <row r="189" spans="2:4" x14ac:dyDescent="0.25">
      <c r="C189" s="373">
        <v>187</v>
      </c>
      <c r="D189" s="374">
        <f t="shared" si="12"/>
        <v>0.15</v>
      </c>
    </row>
    <row r="190" spans="2:4" x14ac:dyDescent="0.25">
      <c r="C190" s="373">
        <v>188</v>
      </c>
      <c r="D190" s="374">
        <f t="shared" si="12"/>
        <v>0.15</v>
      </c>
    </row>
    <row r="191" spans="2:4" x14ac:dyDescent="0.25">
      <c r="C191" s="373">
        <v>189</v>
      </c>
      <c r="D191" s="374">
        <f t="shared" si="12"/>
        <v>0.15</v>
      </c>
    </row>
    <row r="192" spans="2:4" x14ac:dyDescent="0.25">
      <c r="C192" s="373">
        <v>190</v>
      </c>
      <c r="D192" s="374">
        <f t="shared" si="12"/>
        <v>0.15</v>
      </c>
    </row>
    <row r="193" spans="2:4" x14ac:dyDescent="0.25">
      <c r="C193" s="373">
        <v>191</v>
      </c>
      <c r="D193" s="374">
        <f t="shared" si="12"/>
        <v>0.15</v>
      </c>
    </row>
    <row r="194" spans="2:4" x14ac:dyDescent="0.25">
      <c r="C194" s="373">
        <v>192</v>
      </c>
      <c r="D194" s="374">
        <f t="shared" si="12"/>
        <v>0.15</v>
      </c>
    </row>
    <row r="195" spans="2:4" x14ac:dyDescent="0.25">
      <c r="B195" s="367">
        <f>B183+12</f>
        <v>193</v>
      </c>
      <c r="C195" s="370">
        <v>193</v>
      </c>
      <c r="D195" s="371">
        <f>D183+$E$2</f>
        <v>0.16</v>
      </c>
    </row>
    <row r="196" spans="2:4" x14ac:dyDescent="0.25">
      <c r="C196" s="373">
        <v>194</v>
      </c>
      <c r="D196" s="374">
        <f>$D$195</f>
        <v>0.16</v>
      </c>
    </row>
    <row r="197" spans="2:4" x14ac:dyDescent="0.25">
      <c r="C197" s="373">
        <v>195</v>
      </c>
      <c r="D197" s="374">
        <f t="shared" ref="D197:D206" si="13">$D$195</f>
        <v>0.16</v>
      </c>
    </row>
    <row r="198" spans="2:4" x14ac:dyDescent="0.25">
      <c r="C198" s="373">
        <v>196</v>
      </c>
      <c r="D198" s="374">
        <f t="shared" si="13"/>
        <v>0.16</v>
      </c>
    </row>
    <row r="199" spans="2:4" x14ac:dyDescent="0.25">
      <c r="C199" s="373">
        <v>197</v>
      </c>
      <c r="D199" s="374">
        <f t="shared" si="13"/>
        <v>0.16</v>
      </c>
    </row>
    <row r="200" spans="2:4" x14ac:dyDescent="0.25">
      <c r="C200" s="373">
        <v>198</v>
      </c>
      <c r="D200" s="374">
        <f t="shared" si="13"/>
        <v>0.16</v>
      </c>
    </row>
    <row r="201" spans="2:4" x14ac:dyDescent="0.25">
      <c r="C201" s="373">
        <v>199</v>
      </c>
      <c r="D201" s="374">
        <f t="shared" si="13"/>
        <v>0.16</v>
      </c>
    </row>
    <row r="202" spans="2:4" x14ac:dyDescent="0.25">
      <c r="C202" s="373">
        <v>200</v>
      </c>
      <c r="D202" s="374">
        <f t="shared" si="13"/>
        <v>0.16</v>
      </c>
    </row>
    <row r="203" spans="2:4" x14ac:dyDescent="0.25">
      <c r="C203" s="373">
        <v>201</v>
      </c>
      <c r="D203" s="374">
        <f t="shared" si="13"/>
        <v>0.16</v>
      </c>
    </row>
    <row r="204" spans="2:4" x14ac:dyDescent="0.25">
      <c r="C204" s="373">
        <v>202</v>
      </c>
      <c r="D204" s="374">
        <f t="shared" si="13"/>
        <v>0.16</v>
      </c>
    </row>
    <row r="205" spans="2:4" x14ac:dyDescent="0.25">
      <c r="C205" s="373">
        <v>203</v>
      </c>
      <c r="D205" s="374">
        <f t="shared" si="13"/>
        <v>0.16</v>
      </c>
    </row>
    <row r="206" spans="2:4" x14ac:dyDescent="0.25">
      <c r="C206" s="373">
        <v>204</v>
      </c>
      <c r="D206" s="374">
        <f t="shared" si="13"/>
        <v>0.16</v>
      </c>
    </row>
    <row r="207" spans="2:4" x14ac:dyDescent="0.25">
      <c r="B207" s="367">
        <f>B195+12</f>
        <v>205</v>
      </c>
      <c r="C207" s="377">
        <v>205</v>
      </c>
      <c r="D207" s="371">
        <f>D195+$E$2</f>
        <v>0.17</v>
      </c>
    </row>
    <row r="208" spans="2:4" x14ac:dyDescent="0.25">
      <c r="C208" s="378">
        <v>206</v>
      </c>
      <c r="D208" s="379">
        <v>0.17</v>
      </c>
    </row>
    <row r="209" spans="2:5" x14ac:dyDescent="0.25">
      <c r="C209" s="373">
        <v>207</v>
      </c>
      <c r="D209" s="379">
        <v>0.17</v>
      </c>
    </row>
    <row r="210" spans="2:5" x14ac:dyDescent="0.25">
      <c r="C210" s="373">
        <v>208</v>
      </c>
      <c r="D210" s="379">
        <v>0.17</v>
      </c>
    </row>
    <row r="211" spans="2:5" x14ac:dyDescent="0.25">
      <c r="C211" s="373">
        <v>209</v>
      </c>
      <c r="D211" s="379">
        <v>0.17</v>
      </c>
    </row>
    <row r="212" spans="2:5" x14ac:dyDescent="0.25">
      <c r="C212" s="373">
        <v>210</v>
      </c>
      <c r="D212" s="379">
        <v>0.17</v>
      </c>
    </row>
    <row r="213" spans="2:5" x14ac:dyDescent="0.25">
      <c r="C213" s="373">
        <v>211</v>
      </c>
      <c r="D213" s="379">
        <v>0.17</v>
      </c>
    </row>
    <row r="214" spans="2:5" x14ac:dyDescent="0.25">
      <c r="C214" s="373">
        <v>212</v>
      </c>
      <c r="D214" s="379">
        <v>0.17</v>
      </c>
    </row>
    <row r="215" spans="2:5" x14ac:dyDescent="0.25">
      <c r="C215" s="373">
        <v>213</v>
      </c>
      <c r="D215" s="379">
        <v>0.17</v>
      </c>
    </row>
    <row r="216" spans="2:5" x14ac:dyDescent="0.25">
      <c r="C216" s="373">
        <v>214</v>
      </c>
      <c r="D216" s="379">
        <v>0.17</v>
      </c>
    </row>
    <row r="217" spans="2:5" x14ac:dyDescent="0.25">
      <c r="C217" s="373">
        <v>215</v>
      </c>
      <c r="D217" s="379">
        <v>0.17</v>
      </c>
    </row>
    <row r="218" spans="2:5" x14ac:dyDescent="0.25">
      <c r="C218" s="373">
        <v>216</v>
      </c>
      <c r="D218" s="379">
        <v>0.17</v>
      </c>
    </row>
    <row r="219" spans="2:5" x14ac:dyDescent="0.25">
      <c r="B219" s="367">
        <f>B207+12</f>
        <v>217</v>
      </c>
      <c r="C219" s="377">
        <v>217</v>
      </c>
      <c r="D219" s="380">
        <v>0.18</v>
      </c>
    </row>
    <row r="220" spans="2:5" x14ac:dyDescent="0.25">
      <c r="C220" s="373">
        <v>218</v>
      </c>
      <c r="D220" s="379">
        <v>0.18</v>
      </c>
    </row>
    <row r="221" spans="2:5" x14ac:dyDescent="0.25">
      <c r="C221" s="373">
        <v>219</v>
      </c>
      <c r="D221" s="379">
        <v>0.18</v>
      </c>
    </row>
    <row r="222" spans="2:5" s="381" customFormat="1" x14ac:dyDescent="0.25">
      <c r="B222" s="367"/>
      <c r="C222" s="373">
        <v>220</v>
      </c>
      <c r="D222" s="379">
        <v>0.18</v>
      </c>
      <c r="E222" s="367"/>
    </row>
    <row r="223" spans="2:5" s="381" customFormat="1" x14ac:dyDescent="0.25">
      <c r="B223" s="367"/>
      <c r="C223" s="373">
        <v>221</v>
      </c>
      <c r="D223" s="379">
        <v>0.18</v>
      </c>
      <c r="E223" s="367"/>
    </row>
    <row r="224" spans="2:5" s="381" customFormat="1" x14ac:dyDescent="0.25">
      <c r="B224" s="367"/>
      <c r="C224" s="373">
        <v>222</v>
      </c>
      <c r="D224" s="379">
        <v>0.18</v>
      </c>
      <c r="E224" s="367"/>
    </row>
    <row r="225" spans="2:5" s="381" customFormat="1" x14ac:dyDescent="0.25">
      <c r="B225" s="367"/>
      <c r="C225" s="373">
        <v>223</v>
      </c>
      <c r="D225" s="379">
        <v>0.18</v>
      </c>
      <c r="E225" s="367"/>
    </row>
    <row r="226" spans="2:5" s="381" customFormat="1" x14ac:dyDescent="0.25">
      <c r="B226" s="367"/>
      <c r="C226" s="373">
        <v>224</v>
      </c>
      <c r="D226" s="379">
        <v>0.18</v>
      </c>
      <c r="E226" s="367"/>
    </row>
    <row r="227" spans="2:5" s="381" customFormat="1" x14ac:dyDescent="0.25">
      <c r="B227" s="367"/>
      <c r="C227" s="373">
        <v>225</v>
      </c>
      <c r="D227" s="379">
        <v>0.18</v>
      </c>
      <c r="E227" s="367"/>
    </row>
    <row r="228" spans="2:5" s="381" customFormat="1" x14ac:dyDescent="0.25">
      <c r="B228" s="367"/>
      <c r="C228" s="373">
        <v>226</v>
      </c>
      <c r="D228" s="379">
        <v>0.18</v>
      </c>
      <c r="E228" s="367"/>
    </row>
    <row r="229" spans="2:5" s="381" customFormat="1" x14ac:dyDescent="0.25">
      <c r="B229" s="367"/>
      <c r="C229" s="373">
        <v>227</v>
      </c>
      <c r="D229" s="379">
        <v>0.18</v>
      </c>
      <c r="E229" s="367"/>
    </row>
    <row r="230" spans="2:5" s="381" customFormat="1" x14ac:dyDescent="0.25">
      <c r="B230" s="367"/>
      <c r="C230" s="373">
        <v>228</v>
      </c>
      <c r="D230" s="379">
        <v>0.18</v>
      </c>
      <c r="E230" s="367"/>
    </row>
    <row r="231" spans="2:5" s="381" customFormat="1" x14ac:dyDescent="0.25">
      <c r="B231" s="367">
        <f>B219+12</f>
        <v>229</v>
      </c>
      <c r="C231" s="377">
        <v>229</v>
      </c>
      <c r="D231" s="380">
        <v>0.19</v>
      </c>
      <c r="E231" s="367"/>
    </row>
    <row r="232" spans="2:5" s="381" customFormat="1" x14ac:dyDescent="0.25">
      <c r="B232" s="367"/>
      <c r="C232" s="373">
        <v>230</v>
      </c>
      <c r="D232" s="374">
        <v>0.19</v>
      </c>
      <c r="E232" s="367"/>
    </row>
    <row r="233" spans="2:5" s="381" customFormat="1" x14ac:dyDescent="0.25">
      <c r="B233" s="367"/>
      <c r="C233" s="373">
        <v>231</v>
      </c>
      <c r="D233" s="374">
        <v>0.19</v>
      </c>
      <c r="E233" s="367"/>
    </row>
    <row r="234" spans="2:5" s="381" customFormat="1" x14ac:dyDescent="0.25">
      <c r="B234" s="367"/>
      <c r="C234" s="373">
        <v>232</v>
      </c>
      <c r="D234" s="374">
        <v>0.19</v>
      </c>
      <c r="E234" s="367"/>
    </row>
    <row r="235" spans="2:5" s="381" customFormat="1" x14ac:dyDescent="0.25">
      <c r="B235" s="367"/>
      <c r="C235" s="373">
        <v>233</v>
      </c>
      <c r="D235" s="374">
        <v>0.19</v>
      </c>
      <c r="E235" s="367"/>
    </row>
    <row r="236" spans="2:5" s="381" customFormat="1" x14ac:dyDescent="0.25">
      <c r="B236" s="367"/>
      <c r="C236" s="373">
        <v>234</v>
      </c>
      <c r="D236" s="374">
        <v>0.19</v>
      </c>
      <c r="E236" s="367"/>
    </row>
    <row r="237" spans="2:5" s="381" customFormat="1" x14ac:dyDescent="0.25">
      <c r="B237" s="367"/>
      <c r="C237" s="373">
        <v>235</v>
      </c>
      <c r="D237" s="374">
        <v>0.19</v>
      </c>
      <c r="E237" s="367"/>
    </row>
    <row r="238" spans="2:5" x14ac:dyDescent="0.25">
      <c r="C238" s="373">
        <v>236</v>
      </c>
      <c r="D238" s="374">
        <v>0.19</v>
      </c>
    </row>
    <row r="239" spans="2:5" x14ac:dyDescent="0.25">
      <c r="C239" s="373">
        <v>237</v>
      </c>
      <c r="D239" s="374">
        <v>0.19</v>
      </c>
    </row>
    <row r="240" spans="2:5" x14ac:dyDescent="0.25">
      <c r="C240" s="373">
        <v>238</v>
      </c>
      <c r="D240" s="374">
        <v>0.19</v>
      </c>
    </row>
    <row r="241" spans="3:4" x14ac:dyDescent="0.25">
      <c r="C241" s="373">
        <v>239</v>
      </c>
      <c r="D241" s="374">
        <v>0.19</v>
      </c>
    </row>
    <row r="242" spans="3:4" x14ac:dyDescent="0.25">
      <c r="C242" s="373">
        <v>240</v>
      </c>
      <c r="D242" s="374">
        <v>0.19</v>
      </c>
    </row>
    <row r="243" spans="3:4" x14ac:dyDescent="0.25">
      <c r="C243" s="373"/>
      <c r="D243" s="374"/>
    </row>
    <row r="244" spans="3:4" x14ac:dyDescent="0.25">
      <c r="C244" s="373"/>
    </row>
    <row r="245" spans="3:4" x14ac:dyDescent="0.25">
      <c r="C245" s="373"/>
    </row>
    <row r="246" spans="3:4" x14ac:dyDescent="0.25">
      <c r="C246" s="373"/>
    </row>
    <row r="247" spans="3:4" x14ac:dyDescent="0.25">
      <c r="C247" s="373"/>
    </row>
    <row r="248" spans="3:4" x14ac:dyDescent="0.25">
      <c r="C248" s="373"/>
    </row>
    <row r="249" spans="3:4" x14ac:dyDescent="0.25">
      <c r="C249" s="373"/>
    </row>
    <row r="250" spans="3:4" x14ac:dyDescent="0.25">
      <c r="C250" s="373"/>
    </row>
    <row r="251" spans="3:4" x14ac:dyDescent="0.25">
      <c r="C251" s="373"/>
    </row>
    <row r="252" spans="3:4" x14ac:dyDescent="0.25">
      <c r="C252" s="373"/>
    </row>
    <row r="253" spans="3:4" x14ac:dyDescent="0.25">
      <c r="C253" s="373"/>
    </row>
    <row r="254" spans="3:4" x14ac:dyDescent="0.25">
      <c r="C254" s="373"/>
    </row>
    <row r="255" spans="3:4" x14ac:dyDescent="0.25">
      <c r="C255" s="373"/>
    </row>
    <row r="256" spans="3:4" x14ac:dyDescent="0.25">
      <c r="C256" s="373"/>
    </row>
    <row r="257" spans="3:3" x14ac:dyDescent="0.25">
      <c r="C257" s="373"/>
    </row>
    <row r="258" spans="3:3" x14ac:dyDescent="0.25">
      <c r="C258" s="373"/>
    </row>
    <row r="259" spans="3:3" x14ac:dyDescent="0.25">
      <c r="C259" s="373"/>
    </row>
    <row r="260" spans="3:3" x14ac:dyDescent="0.25">
      <c r="C260" s="373"/>
    </row>
    <row r="261" spans="3:3" x14ac:dyDescent="0.25">
      <c r="C261" s="373"/>
    </row>
    <row r="262" spans="3:3" x14ac:dyDescent="0.25">
      <c r="C262" s="373"/>
    </row>
    <row r="263" spans="3:3" x14ac:dyDescent="0.25">
      <c r="C263" s="373"/>
    </row>
    <row r="264" spans="3:3" x14ac:dyDescent="0.25">
      <c r="C264" s="373"/>
    </row>
    <row r="265" spans="3:3" x14ac:dyDescent="0.25">
      <c r="C265" s="373"/>
    </row>
    <row r="266" spans="3:3" x14ac:dyDescent="0.25">
      <c r="C266" s="373"/>
    </row>
    <row r="267" spans="3:3" x14ac:dyDescent="0.25">
      <c r="C267" s="373"/>
    </row>
    <row r="268" spans="3:3" x14ac:dyDescent="0.25">
      <c r="C268" s="373"/>
    </row>
    <row r="269" spans="3:3" x14ac:dyDescent="0.25">
      <c r="C269" s="373"/>
    </row>
    <row r="270" spans="3:3" x14ac:dyDescent="0.25">
      <c r="C270" s="373"/>
    </row>
    <row r="271" spans="3:3" x14ac:dyDescent="0.25">
      <c r="C271" s="373"/>
    </row>
    <row r="272" spans="3:3" x14ac:dyDescent="0.25">
      <c r="C272" s="373"/>
    </row>
    <row r="273" spans="3:3" x14ac:dyDescent="0.25">
      <c r="C273" s="373"/>
    </row>
    <row r="274" spans="3:3" x14ac:dyDescent="0.25">
      <c r="C274" s="373"/>
    </row>
    <row r="275" spans="3:3" x14ac:dyDescent="0.25">
      <c r="C275" s="373"/>
    </row>
    <row r="276" spans="3:3" x14ac:dyDescent="0.25">
      <c r="C276" s="373"/>
    </row>
    <row r="277" spans="3:3" x14ac:dyDescent="0.25">
      <c r="C277" s="373"/>
    </row>
    <row r="278" spans="3:3" x14ac:dyDescent="0.25">
      <c r="C278" s="373"/>
    </row>
    <row r="279" spans="3:3" x14ac:dyDescent="0.25">
      <c r="C279" s="373"/>
    </row>
    <row r="280" spans="3:3" x14ac:dyDescent="0.25">
      <c r="C280" s="373"/>
    </row>
    <row r="281" spans="3:3" x14ac:dyDescent="0.25">
      <c r="C281" s="373"/>
    </row>
    <row r="282" spans="3:3" x14ac:dyDescent="0.25">
      <c r="C282" s="373"/>
    </row>
    <row r="283" spans="3:3" x14ac:dyDescent="0.25">
      <c r="C283" s="373"/>
    </row>
    <row r="284" spans="3:3" x14ac:dyDescent="0.25">
      <c r="C284" s="373"/>
    </row>
    <row r="285" spans="3:3" x14ac:dyDescent="0.25">
      <c r="C285" s="373"/>
    </row>
    <row r="286" spans="3:3" x14ac:dyDescent="0.25">
      <c r="C286" s="373"/>
    </row>
    <row r="287" spans="3:3" x14ac:dyDescent="0.25">
      <c r="C287" s="373"/>
    </row>
    <row r="288" spans="3:3" x14ac:dyDescent="0.25">
      <c r="C288" s="373"/>
    </row>
    <row r="289" spans="3:3" x14ac:dyDescent="0.25">
      <c r="C289" s="373"/>
    </row>
    <row r="290" spans="3:3" x14ac:dyDescent="0.25">
      <c r="C290" s="373"/>
    </row>
    <row r="291" spans="3:3" x14ac:dyDescent="0.25">
      <c r="C291" s="373"/>
    </row>
    <row r="292" spans="3:3" x14ac:dyDescent="0.25">
      <c r="C292" s="373"/>
    </row>
    <row r="293" spans="3:3" x14ac:dyDescent="0.25">
      <c r="C293" s="373"/>
    </row>
    <row r="294" spans="3:3" x14ac:dyDescent="0.25">
      <c r="C294" s="373"/>
    </row>
    <row r="295" spans="3:3" x14ac:dyDescent="0.25">
      <c r="C295" s="373"/>
    </row>
    <row r="296" spans="3:3" x14ac:dyDescent="0.25">
      <c r="C296" s="373"/>
    </row>
    <row r="297" spans="3:3" x14ac:dyDescent="0.25">
      <c r="C297" s="373"/>
    </row>
    <row r="298" spans="3:3" x14ac:dyDescent="0.25">
      <c r="C298" s="373"/>
    </row>
    <row r="299" spans="3:3" x14ac:dyDescent="0.25">
      <c r="C299" s="373"/>
    </row>
    <row r="300" spans="3:3" x14ac:dyDescent="0.25">
      <c r="C300" s="373"/>
    </row>
    <row r="301" spans="3:3" x14ac:dyDescent="0.25">
      <c r="C301" s="373"/>
    </row>
    <row r="302" spans="3:3" x14ac:dyDescent="0.25">
      <c r="C302" s="373"/>
    </row>
    <row r="303" spans="3:3" x14ac:dyDescent="0.25">
      <c r="C303" s="373"/>
    </row>
    <row r="304" spans="3:3" x14ac:dyDescent="0.25">
      <c r="C304" s="373"/>
    </row>
    <row r="305" spans="3:3" x14ac:dyDescent="0.25">
      <c r="C305" s="373"/>
    </row>
    <row r="306" spans="3:3" x14ac:dyDescent="0.25">
      <c r="C306" s="373"/>
    </row>
    <row r="307" spans="3:3" x14ac:dyDescent="0.25">
      <c r="C307" s="373"/>
    </row>
    <row r="308" spans="3:3" x14ac:dyDescent="0.25">
      <c r="C308" s="373"/>
    </row>
    <row r="309" spans="3:3" x14ac:dyDescent="0.25">
      <c r="C309" s="373"/>
    </row>
    <row r="310" spans="3:3" x14ac:dyDescent="0.25">
      <c r="C310" s="373"/>
    </row>
    <row r="311" spans="3:3" x14ac:dyDescent="0.25">
      <c r="C311" s="373"/>
    </row>
    <row r="312" spans="3:3" x14ac:dyDescent="0.25">
      <c r="C312" s="373"/>
    </row>
    <row r="313" spans="3:3" x14ac:dyDescent="0.25">
      <c r="C313" s="373"/>
    </row>
    <row r="314" spans="3:3" x14ac:dyDescent="0.25">
      <c r="C314" s="373"/>
    </row>
    <row r="315" spans="3:3" x14ac:dyDescent="0.25">
      <c r="C315" s="373"/>
    </row>
    <row r="316" spans="3:3" x14ac:dyDescent="0.25">
      <c r="C316" s="373"/>
    </row>
    <row r="317" spans="3:3" x14ac:dyDescent="0.25">
      <c r="C317" s="373"/>
    </row>
    <row r="318" spans="3:3" x14ac:dyDescent="0.25">
      <c r="C318" s="373"/>
    </row>
    <row r="319" spans="3:3" x14ac:dyDescent="0.25">
      <c r="C319" s="373"/>
    </row>
    <row r="320" spans="3:3" x14ac:dyDescent="0.25">
      <c r="C320" s="373"/>
    </row>
    <row r="321" spans="3:3" x14ac:dyDescent="0.25">
      <c r="C321" s="373"/>
    </row>
    <row r="322" spans="3:3" x14ac:dyDescent="0.25">
      <c r="C322" s="373"/>
    </row>
    <row r="323" spans="3:3" x14ac:dyDescent="0.25">
      <c r="C323" s="373"/>
    </row>
    <row r="324" spans="3:3" x14ac:dyDescent="0.25">
      <c r="C324" s="373"/>
    </row>
    <row r="325" spans="3:3" x14ac:dyDescent="0.25">
      <c r="C325" s="373"/>
    </row>
    <row r="326" spans="3:3" x14ac:dyDescent="0.25">
      <c r="C326" s="373"/>
    </row>
    <row r="327" spans="3:3" x14ac:dyDescent="0.25">
      <c r="C327" s="373"/>
    </row>
    <row r="328" spans="3:3" x14ac:dyDescent="0.25">
      <c r="C328" s="373"/>
    </row>
    <row r="329" spans="3:3" x14ac:dyDescent="0.25">
      <c r="C329" s="373"/>
    </row>
    <row r="330" spans="3:3" x14ac:dyDescent="0.25">
      <c r="C330" s="373"/>
    </row>
    <row r="331" spans="3:3" x14ac:dyDescent="0.25">
      <c r="C331" s="373"/>
    </row>
    <row r="332" spans="3:3" x14ac:dyDescent="0.25">
      <c r="C332" s="373"/>
    </row>
    <row r="333" spans="3:3" x14ac:dyDescent="0.25">
      <c r="C333" s="373"/>
    </row>
    <row r="334" spans="3:3" x14ac:dyDescent="0.25">
      <c r="C334" s="373"/>
    </row>
    <row r="335" spans="3:3" x14ac:dyDescent="0.25">
      <c r="C335" s="373"/>
    </row>
    <row r="336" spans="3:3" x14ac:dyDescent="0.25">
      <c r="C336" s="373"/>
    </row>
    <row r="337" spans="3:3" x14ac:dyDescent="0.25">
      <c r="C337" s="373"/>
    </row>
    <row r="338" spans="3:3" x14ac:dyDescent="0.25">
      <c r="C338" s="373"/>
    </row>
    <row r="339" spans="3:3" x14ac:dyDescent="0.25">
      <c r="C339" s="373"/>
    </row>
    <row r="340" spans="3:3" x14ac:dyDescent="0.25">
      <c r="C340" s="373"/>
    </row>
    <row r="341" spans="3:3" x14ac:dyDescent="0.25">
      <c r="C341" s="373"/>
    </row>
    <row r="342" spans="3:3" x14ac:dyDescent="0.25">
      <c r="C342" s="373"/>
    </row>
    <row r="343" spans="3:3" x14ac:dyDescent="0.25">
      <c r="C343" s="373"/>
    </row>
    <row r="344" spans="3:3" x14ac:dyDescent="0.25">
      <c r="C344" s="373"/>
    </row>
    <row r="345" spans="3:3" x14ac:dyDescent="0.25">
      <c r="C345" s="373"/>
    </row>
    <row r="346" spans="3:3" x14ac:dyDescent="0.25">
      <c r="C346" s="373"/>
    </row>
    <row r="347" spans="3:3" x14ac:dyDescent="0.25">
      <c r="C347" s="373"/>
    </row>
    <row r="348" spans="3:3" x14ac:dyDescent="0.25">
      <c r="C348" s="373"/>
    </row>
    <row r="349" spans="3:3" x14ac:dyDescent="0.25">
      <c r="C349" s="373"/>
    </row>
    <row r="350" spans="3:3" x14ac:dyDescent="0.25">
      <c r="C350" s="373"/>
    </row>
    <row r="351" spans="3:3" x14ac:dyDescent="0.25">
      <c r="C351" s="373"/>
    </row>
    <row r="352" spans="3:3" x14ac:dyDescent="0.25">
      <c r="C352" s="373"/>
    </row>
    <row r="353" spans="3:3" x14ac:dyDescent="0.25">
      <c r="C353" s="373"/>
    </row>
    <row r="354" spans="3:3" x14ac:dyDescent="0.25">
      <c r="C354" s="373"/>
    </row>
    <row r="355" spans="3:3" x14ac:dyDescent="0.25">
      <c r="C355" s="373"/>
    </row>
    <row r="356" spans="3:3" x14ac:dyDescent="0.25">
      <c r="C356" s="373"/>
    </row>
    <row r="357" spans="3:3" x14ac:dyDescent="0.25">
      <c r="C357" s="373"/>
    </row>
    <row r="358" spans="3:3" x14ac:dyDescent="0.25">
      <c r="C358" s="373"/>
    </row>
    <row r="359" spans="3:3" x14ac:dyDescent="0.25">
      <c r="C359" s="373"/>
    </row>
    <row r="360" spans="3:3" x14ac:dyDescent="0.25">
      <c r="C360" s="373"/>
    </row>
    <row r="361" spans="3:3" x14ac:dyDescent="0.25">
      <c r="C361" s="373"/>
    </row>
    <row r="362" spans="3:3" x14ac:dyDescent="0.25">
      <c r="C362" s="373"/>
    </row>
    <row r="363" spans="3:3" x14ac:dyDescent="0.25">
      <c r="C363" s="373"/>
    </row>
    <row r="364" spans="3:3" x14ac:dyDescent="0.25">
      <c r="C364" s="373"/>
    </row>
    <row r="365" spans="3:3" x14ac:dyDescent="0.25">
      <c r="C365" s="373"/>
    </row>
    <row r="366" spans="3:3" x14ac:dyDescent="0.25">
      <c r="C366" s="373"/>
    </row>
    <row r="367" spans="3:3" x14ac:dyDescent="0.25">
      <c r="C367" s="373"/>
    </row>
    <row r="368" spans="3:3" x14ac:dyDescent="0.25">
      <c r="C368" s="373"/>
    </row>
    <row r="369" spans="3:3" x14ac:dyDescent="0.25">
      <c r="C369" s="373"/>
    </row>
    <row r="370" spans="3:3" x14ac:dyDescent="0.25">
      <c r="C370" s="373"/>
    </row>
    <row r="371" spans="3:3" x14ac:dyDescent="0.25">
      <c r="C371" s="373"/>
    </row>
    <row r="372" spans="3:3" x14ac:dyDescent="0.25">
      <c r="C372" s="373"/>
    </row>
    <row r="373" spans="3:3" x14ac:dyDescent="0.25">
      <c r="C373" s="373"/>
    </row>
    <row r="374" spans="3:3" x14ac:dyDescent="0.25">
      <c r="C374" s="373"/>
    </row>
    <row r="375" spans="3:3" x14ac:dyDescent="0.25">
      <c r="C375" s="373"/>
    </row>
    <row r="376" spans="3:3" x14ac:dyDescent="0.25">
      <c r="C376" s="373"/>
    </row>
    <row r="377" spans="3:3" x14ac:dyDescent="0.25">
      <c r="C377" s="373"/>
    </row>
    <row r="378" spans="3:3" x14ac:dyDescent="0.25">
      <c r="C378" s="373"/>
    </row>
    <row r="379" spans="3:3" x14ac:dyDescent="0.25">
      <c r="C379" s="373"/>
    </row>
    <row r="380" spans="3:3" x14ac:dyDescent="0.25">
      <c r="C380" s="373"/>
    </row>
    <row r="381" spans="3:3" x14ac:dyDescent="0.25">
      <c r="C381" s="373"/>
    </row>
    <row r="382" spans="3:3" x14ac:dyDescent="0.25">
      <c r="C382" s="373"/>
    </row>
    <row r="383" spans="3:3" x14ac:dyDescent="0.25">
      <c r="C383" s="373"/>
    </row>
    <row r="384" spans="3:3" x14ac:dyDescent="0.25">
      <c r="C384" s="373"/>
    </row>
    <row r="385" spans="3:3" x14ac:dyDescent="0.25">
      <c r="C385" s="373"/>
    </row>
    <row r="386" spans="3:3" x14ac:dyDescent="0.25">
      <c r="C386" s="373"/>
    </row>
    <row r="387" spans="3:3" x14ac:dyDescent="0.25">
      <c r="C387" s="373"/>
    </row>
    <row r="388" spans="3:3" x14ac:dyDescent="0.25">
      <c r="C388" s="373"/>
    </row>
    <row r="389" spans="3:3" x14ac:dyDescent="0.25">
      <c r="C389" s="373"/>
    </row>
    <row r="390" spans="3:3" x14ac:dyDescent="0.25">
      <c r="C390" s="373"/>
    </row>
    <row r="391" spans="3:3" x14ac:dyDescent="0.25">
      <c r="C391" s="373"/>
    </row>
    <row r="392" spans="3:3" x14ac:dyDescent="0.25">
      <c r="C392" s="373"/>
    </row>
    <row r="393" spans="3:3" x14ac:dyDescent="0.25">
      <c r="C393" s="373"/>
    </row>
    <row r="394" spans="3:3" x14ac:dyDescent="0.25">
      <c r="C394" s="373"/>
    </row>
    <row r="395" spans="3:3" x14ac:dyDescent="0.25">
      <c r="C395" s="373"/>
    </row>
    <row r="396" spans="3:3" x14ac:dyDescent="0.25">
      <c r="C396" s="373"/>
    </row>
    <row r="397" spans="3:3" x14ac:dyDescent="0.25">
      <c r="C397" s="373"/>
    </row>
    <row r="398" spans="3:3" x14ac:dyDescent="0.25">
      <c r="C398" s="373"/>
    </row>
    <row r="399" spans="3:3" x14ac:dyDescent="0.25">
      <c r="C399" s="373"/>
    </row>
    <row r="400" spans="3:3" x14ac:dyDescent="0.25">
      <c r="C400" s="373"/>
    </row>
    <row r="401" spans="3:3" x14ac:dyDescent="0.25">
      <c r="C401" s="373"/>
    </row>
    <row r="402" spans="3:3" x14ac:dyDescent="0.25">
      <c r="C402" s="373"/>
    </row>
    <row r="403" spans="3:3" x14ac:dyDescent="0.25">
      <c r="C403" s="373"/>
    </row>
    <row r="404" spans="3:3" x14ac:dyDescent="0.25">
      <c r="C404" s="373"/>
    </row>
    <row r="405" spans="3:3" x14ac:dyDescent="0.25">
      <c r="C405" s="373"/>
    </row>
    <row r="406" spans="3:3" x14ac:dyDescent="0.25">
      <c r="C406" s="373"/>
    </row>
    <row r="407" spans="3:3" x14ac:dyDescent="0.25">
      <c r="C407" s="373"/>
    </row>
    <row r="408" spans="3:3" x14ac:dyDescent="0.25">
      <c r="C408" s="373"/>
    </row>
    <row r="409" spans="3:3" x14ac:dyDescent="0.25">
      <c r="C409" s="373"/>
    </row>
    <row r="410" spans="3:3" x14ac:dyDescent="0.25">
      <c r="C410" s="373"/>
    </row>
    <row r="411" spans="3:3" x14ac:dyDescent="0.25">
      <c r="C411" s="373"/>
    </row>
    <row r="412" spans="3:3" x14ac:dyDescent="0.25">
      <c r="C412" s="373"/>
    </row>
    <row r="413" spans="3:3" x14ac:dyDescent="0.25">
      <c r="C413" s="373"/>
    </row>
    <row r="414" spans="3:3" x14ac:dyDescent="0.25">
      <c r="C414" s="373"/>
    </row>
    <row r="415" spans="3:3" x14ac:dyDescent="0.25">
      <c r="C415" s="373"/>
    </row>
    <row r="416" spans="3:3" x14ac:dyDescent="0.25">
      <c r="C416" s="373"/>
    </row>
    <row r="417" spans="3:3" x14ac:dyDescent="0.25">
      <c r="C417" s="373"/>
    </row>
    <row r="418" spans="3:3" x14ac:dyDescent="0.25">
      <c r="C418" s="373"/>
    </row>
    <row r="419" spans="3:3" x14ac:dyDescent="0.25">
      <c r="C419" s="373"/>
    </row>
    <row r="420" spans="3:3" x14ac:dyDescent="0.25">
      <c r="C420" s="373"/>
    </row>
    <row r="421" spans="3:3" x14ac:dyDescent="0.25">
      <c r="C421" s="373"/>
    </row>
    <row r="422" spans="3:3" x14ac:dyDescent="0.25">
      <c r="C422" s="373"/>
    </row>
    <row r="423" spans="3:3" x14ac:dyDescent="0.25">
      <c r="C423" s="373"/>
    </row>
    <row r="424" spans="3:3" x14ac:dyDescent="0.25">
      <c r="C424" s="373"/>
    </row>
    <row r="425" spans="3:3" x14ac:dyDescent="0.25">
      <c r="C425" s="373"/>
    </row>
    <row r="426" spans="3:3" x14ac:dyDescent="0.25">
      <c r="C426" s="373"/>
    </row>
    <row r="427" spans="3:3" x14ac:dyDescent="0.25">
      <c r="C427" s="373"/>
    </row>
    <row r="428" spans="3:3" x14ac:dyDescent="0.25">
      <c r="C428" s="373"/>
    </row>
    <row r="429" spans="3:3" x14ac:dyDescent="0.25">
      <c r="C429" s="373"/>
    </row>
    <row r="430" spans="3:3" x14ac:dyDescent="0.25">
      <c r="C430" s="373"/>
    </row>
    <row r="431" spans="3:3" x14ac:dyDescent="0.25">
      <c r="C431" s="373"/>
    </row>
    <row r="432" spans="3:3" x14ac:dyDescent="0.25">
      <c r="C432" s="373"/>
    </row>
    <row r="433" spans="3:3" x14ac:dyDescent="0.25">
      <c r="C433" s="373"/>
    </row>
    <row r="434" spans="3:3" x14ac:dyDescent="0.25">
      <c r="C434" s="373"/>
    </row>
    <row r="435" spans="3:3" x14ac:dyDescent="0.25">
      <c r="C435" s="373"/>
    </row>
    <row r="436" spans="3:3" x14ac:dyDescent="0.25">
      <c r="C436" s="373"/>
    </row>
    <row r="437" spans="3:3" x14ac:dyDescent="0.25">
      <c r="C437" s="373"/>
    </row>
    <row r="438" spans="3:3" x14ac:dyDescent="0.25">
      <c r="C438" s="373"/>
    </row>
    <row r="439" spans="3:3" x14ac:dyDescent="0.25">
      <c r="C439" s="373"/>
    </row>
    <row r="440" spans="3:3" x14ac:dyDescent="0.25">
      <c r="C440" s="373"/>
    </row>
    <row r="441" spans="3:3" x14ac:dyDescent="0.25">
      <c r="C441" s="373"/>
    </row>
    <row r="442" spans="3:3" x14ac:dyDescent="0.25">
      <c r="C442" s="373"/>
    </row>
    <row r="443" spans="3:3" x14ac:dyDescent="0.25">
      <c r="C443" s="373"/>
    </row>
    <row r="444" spans="3:3" x14ac:dyDescent="0.25">
      <c r="C444" s="373"/>
    </row>
    <row r="445" spans="3:3" x14ac:dyDescent="0.25">
      <c r="C445" s="373"/>
    </row>
    <row r="446" spans="3:3" x14ac:dyDescent="0.25">
      <c r="C446" s="373"/>
    </row>
    <row r="447" spans="3:3" x14ac:dyDescent="0.25">
      <c r="C447" s="373"/>
    </row>
    <row r="448" spans="3:3" x14ac:dyDescent="0.25">
      <c r="C448" s="373"/>
    </row>
    <row r="449" spans="3:3" x14ac:dyDescent="0.25">
      <c r="C449" s="373"/>
    </row>
    <row r="450" spans="3:3" x14ac:dyDescent="0.25">
      <c r="C450" s="373"/>
    </row>
    <row r="451" spans="3:3" x14ac:dyDescent="0.25">
      <c r="C451" s="373"/>
    </row>
    <row r="452" spans="3:3" x14ac:dyDescent="0.25">
      <c r="C452" s="373"/>
    </row>
    <row r="453" spans="3:3" x14ac:dyDescent="0.25">
      <c r="C453" s="373"/>
    </row>
    <row r="454" spans="3:3" x14ac:dyDescent="0.25">
      <c r="C454" s="373"/>
    </row>
    <row r="455" spans="3:3" x14ac:dyDescent="0.25">
      <c r="C455" s="373"/>
    </row>
    <row r="456" spans="3:3" x14ac:dyDescent="0.25">
      <c r="C456" s="373"/>
    </row>
    <row r="457" spans="3:3" x14ac:dyDescent="0.25">
      <c r="C457" s="373"/>
    </row>
    <row r="458" spans="3:3" x14ac:dyDescent="0.25">
      <c r="C458" s="373"/>
    </row>
    <row r="459" spans="3:3" x14ac:dyDescent="0.25">
      <c r="C459" s="373"/>
    </row>
    <row r="460" spans="3:3" x14ac:dyDescent="0.25">
      <c r="C460" s="373"/>
    </row>
    <row r="461" spans="3:3" x14ac:dyDescent="0.25">
      <c r="C461" s="373"/>
    </row>
    <row r="462" spans="3:3" x14ac:dyDescent="0.25">
      <c r="C462" s="373"/>
    </row>
    <row r="463" spans="3:3" x14ac:dyDescent="0.25">
      <c r="C463" s="373"/>
    </row>
    <row r="464" spans="3:3" x14ac:dyDescent="0.25">
      <c r="C464" s="373"/>
    </row>
    <row r="465" spans="3:3" x14ac:dyDescent="0.25">
      <c r="C465" s="373"/>
    </row>
    <row r="466" spans="3:3" x14ac:dyDescent="0.25">
      <c r="C466" s="373"/>
    </row>
    <row r="467" spans="3:3" x14ac:dyDescent="0.25">
      <c r="C467" s="373"/>
    </row>
    <row r="468" spans="3:3" x14ac:dyDescent="0.25">
      <c r="C468" s="373"/>
    </row>
    <row r="469" spans="3:3" x14ac:dyDescent="0.25">
      <c r="C469" s="373"/>
    </row>
    <row r="470" spans="3:3" x14ac:dyDescent="0.25">
      <c r="C470" s="373"/>
    </row>
    <row r="471" spans="3:3" x14ac:dyDescent="0.25">
      <c r="C471" s="373"/>
    </row>
    <row r="472" spans="3:3" x14ac:dyDescent="0.25">
      <c r="C472" s="373"/>
    </row>
    <row r="473" spans="3:3" x14ac:dyDescent="0.25">
      <c r="C473" s="373"/>
    </row>
    <row r="474" spans="3:3" x14ac:dyDescent="0.25">
      <c r="C474" s="373"/>
    </row>
    <row r="475" spans="3:3" x14ac:dyDescent="0.25">
      <c r="C475" s="373"/>
    </row>
    <row r="476" spans="3:3" x14ac:dyDescent="0.25">
      <c r="C476" s="373"/>
    </row>
    <row r="477" spans="3:3" x14ac:dyDescent="0.25">
      <c r="C477" s="373"/>
    </row>
    <row r="478" spans="3:3" x14ac:dyDescent="0.25">
      <c r="C478" s="373"/>
    </row>
    <row r="479" spans="3:3" x14ac:dyDescent="0.25">
      <c r="C479" s="373"/>
    </row>
    <row r="480" spans="3:3" x14ac:dyDescent="0.25">
      <c r="C480" s="373"/>
    </row>
    <row r="481" spans="3:3" x14ac:dyDescent="0.25">
      <c r="C481" s="373"/>
    </row>
    <row r="482" spans="3:3" x14ac:dyDescent="0.25">
      <c r="C482" s="373"/>
    </row>
    <row r="483" spans="3:3" x14ac:dyDescent="0.25">
      <c r="C483" s="373"/>
    </row>
    <row r="484" spans="3:3" x14ac:dyDescent="0.25">
      <c r="C484" s="373"/>
    </row>
    <row r="485" spans="3:3" x14ac:dyDescent="0.25">
      <c r="C485" s="373"/>
    </row>
    <row r="486" spans="3:3" x14ac:dyDescent="0.25">
      <c r="C486" s="373"/>
    </row>
    <row r="487" spans="3:3" x14ac:dyDescent="0.25">
      <c r="C487" s="373"/>
    </row>
    <row r="488" spans="3:3" x14ac:dyDescent="0.25">
      <c r="C488" s="373"/>
    </row>
    <row r="489" spans="3:3" x14ac:dyDescent="0.25">
      <c r="C489" s="373"/>
    </row>
    <row r="490" spans="3:3" x14ac:dyDescent="0.25">
      <c r="C490" s="373"/>
    </row>
    <row r="491" spans="3:3" x14ac:dyDescent="0.25">
      <c r="C491" s="37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123"/>
  <sheetViews>
    <sheetView topLeftCell="A10" zoomScale="115" zoomScaleNormal="115" workbookViewId="0">
      <selection sqref="A1:F1048576"/>
    </sheetView>
  </sheetViews>
  <sheetFormatPr defaultRowHeight="15" x14ac:dyDescent="0.25"/>
  <cols>
    <col min="1" max="1" width="21.7109375" customWidth="1"/>
    <col min="2" max="2" width="21.5703125" style="30" customWidth="1"/>
    <col min="3" max="3" width="5.140625" hidden="1" customWidth="1"/>
    <col min="4" max="4" width="15.85546875" style="30" customWidth="1"/>
    <col min="5" max="5" width="14.42578125" customWidth="1"/>
    <col min="6" max="6" width="13.85546875" customWidth="1"/>
    <col min="7" max="7" width="10.42578125" customWidth="1"/>
  </cols>
  <sheetData>
    <row r="1" spans="1:4" ht="0.75" customHeight="1" x14ac:dyDescent="0.25"/>
    <row r="2" spans="1:4" x14ac:dyDescent="0.25">
      <c r="A2" s="184" t="s">
        <v>549</v>
      </c>
      <c r="B2" s="424">
        <f>'BANG LUONG 1'!$P$3</f>
        <v>43733</v>
      </c>
    </row>
    <row r="3" spans="1:4" x14ac:dyDescent="0.25">
      <c r="A3" s="183" t="s">
        <v>1</v>
      </c>
      <c r="B3" s="185" t="s">
        <v>160</v>
      </c>
      <c r="C3" s="35">
        <v>1</v>
      </c>
      <c r="D3" s="41"/>
    </row>
    <row r="4" spans="1:4" x14ac:dyDescent="0.25">
      <c r="A4" s="183" t="s">
        <v>2</v>
      </c>
      <c r="B4" s="185" t="str">
        <f>VLOOKUP($B3,'BANG LUONG 1'!$B$6:$AB$54,C4,0)</f>
        <v>Triệu Minh Tuấn</v>
      </c>
      <c r="C4" s="35">
        <v>2</v>
      </c>
      <c r="D4" s="41"/>
    </row>
    <row r="5" spans="1:4" x14ac:dyDescent="0.25">
      <c r="A5" s="35" t="s">
        <v>3</v>
      </c>
      <c r="B5" s="41" t="str">
        <f>VLOOKUP($B3,'BANG LUONG 1'!$B$6:$AJ$54,C5,0)</f>
        <v xml:space="preserve">Công nhân </v>
      </c>
      <c r="C5" s="35">
        <v>3</v>
      </c>
      <c r="D5" s="41"/>
    </row>
    <row r="6" spans="1:4" x14ac:dyDescent="0.25">
      <c r="A6" s="35" t="s">
        <v>376</v>
      </c>
      <c r="B6" s="410">
        <f>VLOOKUP($B3,'BANG LUONG 1'!$B$5:$AJ$56,4,0)</f>
        <v>41706</v>
      </c>
      <c r="C6" s="35">
        <v>4</v>
      </c>
      <c r="D6" s="41"/>
    </row>
    <row r="7" spans="1:4" x14ac:dyDescent="0.25">
      <c r="A7" s="35" t="s">
        <v>698</v>
      </c>
      <c r="B7" s="411">
        <f>VLOOKUP(B3,'BANG LUONG 1'!$B$5:$AJ$56,6,0)</f>
        <v>0.05</v>
      </c>
      <c r="C7" s="35">
        <v>5</v>
      </c>
      <c r="D7" s="41"/>
    </row>
    <row r="8" spans="1:4" x14ac:dyDescent="0.25">
      <c r="A8" s="35" t="s">
        <v>229</v>
      </c>
      <c r="B8" s="412">
        <f>'thang luong moi'!$F$5</f>
        <v>4012500</v>
      </c>
      <c r="C8" s="35">
        <v>6</v>
      </c>
      <c r="D8" s="41"/>
    </row>
    <row r="9" spans="1:4" x14ac:dyDescent="0.25">
      <c r="A9" s="35" t="s">
        <v>217</v>
      </c>
      <c r="B9" s="412" t="str">
        <f>VLOOKUP(B3,'BANG LUONG 1'!$B$5:$AJ$56,8,0)</f>
        <v>B.05</v>
      </c>
      <c r="C9" s="35">
        <v>7</v>
      </c>
      <c r="D9" s="41"/>
    </row>
    <row r="10" spans="1:4" x14ac:dyDescent="0.25">
      <c r="A10" s="35" t="s">
        <v>230</v>
      </c>
      <c r="B10" s="412">
        <f>VLOOKUP(B3,'BANG LUONG 1'!$B$5:$AJ$56,9,0)</f>
        <v>1</v>
      </c>
      <c r="C10" s="35">
        <v>8</v>
      </c>
      <c r="D10" s="41"/>
    </row>
    <row r="11" spans="1:4" x14ac:dyDescent="0.25">
      <c r="A11" s="35" t="s">
        <v>538</v>
      </c>
      <c r="B11" s="412">
        <f>VLOOKUP(B3,'BANG LUONG 1'!$B$5:$AJ$56,11,0)</f>
        <v>4213125</v>
      </c>
      <c r="C11" s="35">
        <v>9</v>
      </c>
      <c r="D11" s="41"/>
    </row>
    <row r="12" spans="1:4" x14ac:dyDescent="0.25">
      <c r="A12" s="35" t="s">
        <v>354</v>
      </c>
      <c r="B12" s="412">
        <f>VLOOKUP(B3,'BANG LUONG 1'!$B$5:$AJ$56,12,0)</f>
        <v>24</v>
      </c>
      <c r="C12" s="35">
        <v>10</v>
      </c>
      <c r="D12" s="41"/>
    </row>
    <row r="13" spans="1:4" x14ac:dyDescent="0.25">
      <c r="A13" s="35" t="s">
        <v>534</v>
      </c>
      <c r="B13" s="412">
        <f>VLOOKUP(B3,'BANG LUONG 1'!$B$5:$AJ$56,13,0)</f>
        <v>3889038.461538461</v>
      </c>
      <c r="C13" s="35">
        <v>11</v>
      </c>
      <c r="D13" s="41"/>
    </row>
    <row r="14" spans="1:4" x14ac:dyDescent="0.25">
      <c r="A14" s="35" t="s">
        <v>592</v>
      </c>
      <c r="B14" s="412">
        <f>VLOOKUP(B3,'BANG LUONG 1'!$B$5:$AJ$56,14,0)</f>
        <v>2</v>
      </c>
      <c r="C14" s="35">
        <v>12</v>
      </c>
      <c r="D14" s="41">
        <f>B11/26*B14</f>
        <v>324086.53846153844</v>
      </c>
    </row>
    <row r="15" spans="1:4" x14ac:dyDescent="0.25">
      <c r="A15" s="35" t="s">
        <v>357</v>
      </c>
      <c r="B15" s="412">
        <f>VLOOKUP(B3,'BANG LUONG 1'!$B$5:$AJ$56,15,0)</f>
        <v>0</v>
      </c>
      <c r="C15" s="35">
        <v>13</v>
      </c>
      <c r="D15" s="41">
        <f>B11/26/8*1.5*B15</f>
        <v>0</v>
      </c>
    </row>
    <row r="16" spans="1:4" x14ac:dyDescent="0.25">
      <c r="A16" s="35" t="s">
        <v>387</v>
      </c>
      <c r="B16" s="412">
        <f>VLOOKUP(B3,'BANG LUONG 1'!$B$5:$AJ$56,16,0)</f>
        <v>16</v>
      </c>
      <c r="C16" s="35">
        <v>14</v>
      </c>
      <c r="D16" s="41">
        <f>B11/26/8*2*B16</f>
        <v>648173.07692307688</v>
      </c>
    </row>
    <row r="17" spans="1:5" x14ac:dyDescent="0.25">
      <c r="A17" s="35" t="s">
        <v>593</v>
      </c>
      <c r="B17" s="412">
        <f>VLOOKUP(B3,'BANG LUONG 1'!$B$5:$AJ$56,17,0)</f>
        <v>1</v>
      </c>
      <c r="C17" s="35"/>
      <c r="D17" s="41">
        <f>(B11/26)*B17</f>
        <v>162043.26923076922</v>
      </c>
    </row>
    <row r="18" spans="1:5" x14ac:dyDescent="0.25">
      <c r="A18" s="35" t="s">
        <v>388</v>
      </c>
      <c r="B18" s="412">
        <f>VLOOKUP(B3,'BANG LUONG 1'!$B$5:$AJ$56,18,0)</f>
        <v>0</v>
      </c>
      <c r="C18" s="35">
        <v>15</v>
      </c>
      <c r="D18" s="41">
        <f>(B11/26*B18)*3</f>
        <v>0</v>
      </c>
    </row>
    <row r="19" spans="1:5" x14ac:dyDescent="0.25">
      <c r="A19" s="35" t="s">
        <v>533</v>
      </c>
      <c r="B19" s="412">
        <f>VLOOKUP(B3,'BANG LUONG 1'!$B$5:$AJ$56,19,0)</f>
        <v>5023341.3461538451</v>
      </c>
      <c r="C19" s="183">
        <v>16</v>
      </c>
      <c r="D19" s="185">
        <f>B13+D15+D16+D14+D18+D17</f>
        <v>5023341.3461538451</v>
      </c>
      <c r="E19" s="108"/>
    </row>
    <row r="20" spans="1:5" x14ac:dyDescent="0.25">
      <c r="A20" s="35" t="s">
        <v>535</v>
      </c>
      <c r="B20" s="412">
        <f>VLOOKUP(B3,'BANG LUONG 1'!$B$5:$AJ$56,20,0)</f>
        <v>810961.53846153896</v>
      </c>
      <c r="C20" s="35">
        <v>17</v>
      </c>
      <c r="D20" s="41"/>
    </row>
    <row r="21" spans="1:5" x14ac:dyDescent="0.25">
      <c r="A21" s="35" t="s">
        <v>370</v>
      </c>
      <c r="B21" s="412">
        <f>VLOOKUP(B3,'BANG LUONG 1'!$B$5:$AJ$56,22,0)</f>
        <v>210656.25</v>
      </c>
      <c r="C21" s="35">
        <v>18</v>
      </c>
      <c r="D21" s="41"/>
    </row>
    <row r="22" spans="1:5" ht="13.5" customHeight="1" x14ac:dyDescent="0.25">
      <c r="A22" s="35" t="s">
        <v>371</v>
      </c>
      <c r="B22" s="412">
        <f>VLOOKUP(B3,'BANG LUONG 1'!$B$5:$AJ$56,23,0)</f>
        <v>300000</v>
      </c>
      <c r="C22" s="35">
        <v>19</v>
      </c>
      <c r="D22" s="41"/>
    </row>
    <row r="23" spans="1:5" x14ac:dyDescent="0.25">
      <c r="A23" s="35" t="s">
        <v>560</v>
      </c>
      <c r="B23" s="412">
        <f>VLOOKUP(B3,'BANG LUONG 1'!$B$5:$AJ$56,24,0)</f>
        <v>0</v>
      </c>
      <c r="C23" s="35">
        <v>22</v>
      </c>
      <c r="D23" s="41"/>
    </row>
    <row r="24" spans="1:5" x14ac:dyDescent="0.25">
      <c r="A24" s="183" t="s">
        <v>237</v>
      </c>
      <c r="B24" s="415">
        <f>VLOOKUP(B3,'BANG LUONG 1'!$B$5:$AJ$56,26,0)</f>
        <v>6344959.134615384</v>
      </c>
      <c r="C24" s="35">
        <v>24</v>
      </c>
      <c r="D24" s="41"/>
    </row>
    <row r="25" spans="1:5" x14ac:dyDescent="0.25">
      <c r="A25" s="35" t="s">
        <v>545</v>
      </c>
      <c r="B25" s="412">
        <f>VLOOKUP(B3,'BANG LUONG 1'!$B$5:$AJ$56,27,0)</f>
        <v>3000000</v>
      </c>
      <c r="C25" s="35">
        <v>25</v>
      </c>
      <c r="D25" s="41"/>
    </row>
    <row r="26" spans="1:5" x14ac:dyDescent="0.25">
      <c r="A26" s="35" t="s">
        <v>544</v>
      </c>
      <c r="B26" s="412">
        <f>VLOOKUP(B3,'BANG LUONG 1'!$B$5:$AJ$56,28,0)</f>
        <v>480585</v>
      </c>
      <c r="C26" s="35">
        <v>26</v>
      </c>
      <c r="D26" s="41"/>
    </row>
    <row r="27" spans="1:5" x14ac:dyDescent="0.25">
      <c r="A27" s="421" t="s">
        <v>712</v>
      </c>
      <c r="B27" s="415">
        <f>VLOOKUP(B3,'BANG LUONG 1'!$B$5:$AJ$56,32,0)</f>
        <v>0</v>
      </c>
      <c r="C27" s="421"/>
      <c r="D27" s="41"/>
    </row>
    <row r="28" spans="1:5" x14ac:dyDescent="0.25">
      <c r="A28" s="421" t="s">
        <v>713</v>
      </c>
      <c r="B28" s="415">
        <f>VLOOKUP(B3,'BANG LUONG 1'!$B$5:$AJ$56,33,0)</f>
        <v>0</v>
      </c>
      <c r="C28" s="421"/>
      <c r="D28" s="41"/>
    </row>
    <row r="29" spans="1:5" ht="17.25" customHeight="1" x14ac:dyDescent="0.25">
      <c r="A29" s="908" t="s">
        <v>899</v>
      </c>
      <c r="B29" s="415">
        <f>VLOOKUP(B3,'BANG LUONG 1'!$B$5:$AJ$56,34,0)</f>
        <v>0</v>
      </c>
      <c r="C29" s="35"/>
      <c r="D29" s="41"/>
      <c r="E29" s="108" t="str">
        <f>B4</f>
        <v>Triệu Minh Tuấn</v>
      </c>
    </row>
    <row r="30" spans="1:5" x14ac:dyDescent="0.25">
      <c r="A30" s="183" t="s">
        <v>546</v>
      </c>
      <c r="B30" s="415">
        <f>VLOOKUP(B3,'BANG LUONG 1'!$B$5:$AJ$56,35,0)</f>
        <v>2964000</v>
      </c>
      <c r="C30" s="35"/>
      <c r="D30" s="41"/>
    </row>
    <row r="31" spans="1:5" x14ac:dyDescent="0.25">
      <c r="A31" s="184" t="s">
        <v>549</v>
      </c>
      <c r="B31" s="424">
        <f>'BANG LUONG 1'!$P$3</f>
        <v>43733</v>
      </c>
    </row>
    <row r="32" spans="1:5" x14ac:dyDescent="0.25">
      <c r="A32" s="183" t="s">
        <v>1</v>
      </c>
      <c r="B32" s="185" t="s">
        <v>161</v>
      </c>
      <c r="C32" s="421">
        <v>1</v>
      </c>
      <c r="D32" s="41"/>
    </row>
    <row r="33" spans="1:5" x14ac:dyDescent="0.25">
      <c r="A33" s="183" t="s">
        <v>2</v>
      </c>
      <c r="B33" s="185" t="str">
        <f>VLOOKUP($B32,'BANG LUONG 1'!$B$6:$AB$51,C33,0)</f>
        <v>Kim Em</v>
      </c>
      <c r="C33" s="421">
        <v>2</v>
      </c>
      <c r="D33" s="41"/>
    </row>
    <row r="34" spans="1:5" x14ac:dyDescent="0.25">
      <c r="A34" s="421" t="s">
        <v>3</v>
      </c>
      <c r="B34" s="41" t="str">
        <f>VLOOKUP($B32,'BANG LUONG 1'!$B$6:$AJ$51,C34,0)</f>
        <v xml:space="preserve">Công nhân </v>
      </c>
      <c r="C34" s="421">
        <v>3</v>
      </c>
      <c r="D34" s="41"/>
    </row>
    <row r="35" spans="1:5" x14ac:dyDescent="0.25">
      <c r="A35" s="421" t="s">
        <v>376</v>
      </c>
      <c r="B35" s="410">
        <f>VLOOKUP($B32,'BANG LUONG 1'!$B$5:$AJ$56,4,0)</f>
        <v>42413</v>
      </c>
      <c r="C35" s="421">
        <v>4</v>
      </c>
      <c r="D35" s="41"/>
    </row>
    <row r="36" spans="1:5" x14ac:dyDescent="0.25">
      <c r="A36" s="421" t="s">
        <v>698</v>
      </c>
      <c r="B36" s="411">
        <f>VLOOKUP(B32,'BANG LUONG 1'!$B$5:$AJ$56,6,0)</f>
        <v>0.03</v>
      </c>
      <c r="C36" s="421">
        <v>5</v>
      </c>
      <c r="D36" s="41"/>
    </row>
    <row r="37" spans="1:5" x14ac:dyDescent="0.25">
      <c r="A37" s="421" t="s">
        <v>229</v>
      </c>
      <c r="B37" s="412">
        <f>'thang luong moi'!$F$5</f>
        <v>4012500</v>
      </c>
      <c r="C37" s="421">
        <v>6</v>
      </c>
      <c r="D37" s="41"/>
    </row>
    <row r="38" spans="1:5" x14ac:dyDescent="0.25">
      <c r="A38" s="421" t="s">
        <v>217</v>
      </c>
      <c r="B38" s="412" t="str">
        <f>VLOOKUP(B32,'BANG LUONG 1'!$B$5:$AJ$56,8,0)</f>
        <v>B.05</v>
      </c>
      <c r="C38" s="421">
        <v>7</v>
      </c>
      <c r="D38" s="41"/>
    </row>
    <row r="39" spans="1:5" x14ac:dyDescent="0.25">
      <c r="A39" s="421" t="s">
        <v>230</v>
      </c>
      <c r="B39" s="412">
        <f>VLOOKUP(B32,'BANG LUONG 1'!$B$5:$AJ$56,9,0)</f>
        <v>1</v>
      </c>
      <c r="C39" s="421">
        <v>8</v>
      </c>
      <c r="D39" s="41"/>
    </row>
    <row r="40" spans="1:5" x14ac:dyDescent="0.25">
      <c r="A40" s="421" t="s">
        <v>538</v>
      </c>
      <c r="B40" s="412">
        <f>VLOOKUP(B32,'BANG LUONG 1'!$B$5:$AJ$56,11,0)</f>
        <v>4213125</v>
      </c>
      <c r="C40" s="421">
        <v>9</v>
      </c>
      <c r="D40" s="41"/>
    </row>
    <row r="41" spans="1:5" x14ac:dyDescent="0.25">
      <c r="A41" s="421" t="s">
        <v>354</v>
      </c>
      <c r="B41" s="412">
        <f>VLOOKUP(B32,'BANG LUONG 1'!$B$5:$AJ$56,12,0)</f>
        <v>26</v>
      </c>
      <c r="C41" s="421">
        <v>10</v>
      </c>
      <c r="D41" s="41"/>
    </row>
    <row r="42" spans="1:5" x14ac:dyDescent="0.25">
      <c r="A42" s="421" t="s">
        <v>534</v>
      </c>
      <c r="B42" s="412">
        <f>VLOOKUP(B32,'BANG LUONG 1'!$B$5:$AJ$56,13,0)</f>
        <v>4213125</v>
      </c>
      <c r="C42" s="421">
        <v>11</v>
      </c>
      <c r="D42" s="41"/>
    </row>
    <row r="43" spans="1:5" x14ac:dyDescent="0.25">
      <c r="A43" s="421" t="s">
        <v>592</v>
      </c>
      <c r="B43" s="412">
        <f>VLOOKUP(B32,'BANG LUONG 1'!$B$5:$AJ$56,14,0)</f>
        <v>0</v>
      </c>
      <c r="C43" s="421">
        <v>12</v>
      </c>
      <c r="D43" s="41">
        <f>B40/26*B43</f>
        <v>0</v>
      </c>
    </row>
    <row r="44" spans="1:5" x14ac:dyDescent="0.25">
      <c r="A44" s="421" t="s">
        <v>357</v>
      </c>
      <c r="B44" s="412">
        <f>VLOOKUP(B32,'BANG LUONG 1'!$B$5:$AJ$56,15,0)</f>
        <v>0</v>
      </c>
      <c r="C44" s="421">
        <v>13</v>
      </c>
      <c r="D44" s="41">
        <f>B40/26/8*1.5*B44</f>
        <v>0</v>
      </c>
    </row>
    <row r="45" spans="1:5" x14ac:dyDescent="0.25">
      <c r="A45" s="421" t="s">
        <v>387</v>
      </c>
      <c r="B45" s="412">
        <f>VLOOKUP(B32,'BANG LUONG 1'!$B$5:$AJ$56,16,0)</f>
        <v>20</v>
      </c>
      <c r="C45" s="421">
        <v>14</v>
      </c>
      <c r="D45" s="41">
        <f>B40/26/8*2*B45</f>
        <v>810216.34615384613</v>
      </c>
    </row>
    <row r="46" spans="1:5" x14ac:dyDescent="0.25">
      <c r="A46" s="421" t="s">
        <v>593</v>
      </c>
      <c r="B46" s="412">
        <f>VLOOKUP(B32,'BANG LUONG 1'!$B$5:$AJ$56,17,0)</f>
        <v>0</v>
      </c>
      <c r="C46" s="421"/>
      <c r="D46" s="41">
        <f>(B40/26)*B46</f>
        <v>0</v>
      </c>
    </row>
    <row r="47" spans="1:5" x14ac:dyDescent="0.25">
      <c r="A47" s="421" t="s">
        <v>388</v>
      </c>
      <c r="B47" s="412">
        <f>VLOOKUP(B32,'BANG LUONG 1'!$B$5:$AJ$56,18,0)</f>
        <v>1</v>
      </c>
      <c r="C47" s="421">
        <v>15</v>
      </c>
      <c r="D47" s="41">
        <f>(B40/26*B47)*3</f>
        <v>486129.80769230763</v>
      </c>
    </row>
    <row r="48" spans="1:5" x14ac:dyDescent="0.25">
      <c r="A48" s="421" t="s">
        <v>533</v>
      </c>
      <c r="B48" s="412">
        <f>VLOOKUP(B32,'BANG LUONG 1'!$B$5:$AJ$56,19,0)</f>
        <v>5509471.153846154</v>
      </c>
      <c r="C48" s="183">
        <v>16</v>
      </c>
      <c r="D48" s="185">
        <f>B42+D44+D45+D43+D47+D46</f>
        <v>5509471.153846154</v>
      </c>
      <c r="E48" s="108"/>
    </row>
    <row r="49" spans="1:5" x14ac:dyDescent="0.25">
      <c r="A49" s="421" t="s">
        <v>535</v>
      </c>
      <c r="B49" s="412">
        <f>VLOOKUP(B32,'BANG LUONG 1'!$B$5:$AJ$56,20,0)</f>
        <v>1119567.307692308</v>
      </c>
      <c r="C49" s="421">
        <v>17</v>
      </c>
      <c r="D49" s="41"/>
    </row>
    <row r="50" spans="1:5" x14ac:dyDescent="0.25">
      <c r="A50" s="421" t="s">
        <v>370</v>
      </c>
      <c r="B50" s="412">
        <f>VLOOKUP(B32,'BANG LUONG 1'!$B$5:$AJ$56,22,0)</f>
        <v>126393.75</v>
      </c>
      <c r="C50" s="421">
        <v>18</v>
      </c>
      <c r="D50" s="41"/>
    </row>
    <row r="51" spans="1:5" ht="13.5" customHeight="1" x14ac:dyDescent="0.25">
      <c r="A51" s="421" t="s">
        <v>371</v>
      </c>
      <c r="B51" s="412">
        <f>VLOOKUP(B32,'BANG LUONG 1'!$B$5:$AJ$56,23,0)</f>
        <v>300000</v>
      </c>
      <c r="C51" s="421">
        <v>19</v>
      </c>
      <c r="D51" s="41"/>
    </row>
    <row r="52" spans="1:5" x14ac:dyDescent="0.25">
      <c r="A52" s="421" t="s">
        <v>560</v>
      </c>
      <c r="B52" s="412">
        <f>VLOOKUP(B32,'BANG LUONG 1'!$B$5:$AJ$56,24,0)</f>
        <v>0</v>
      </c>
      <c r="C52" s="421">
        <v>22</v>
      </c>
      <c r="D52" s="41"/>
    </row>
    <row r="53" spans="1:5" x14ac:dyDescent="0.25">
      <c r="A53" s="183" t="s">
        <v>237</v>
      </c>
      <c r="B53" s="415">
        <f>VLOOKUP(B32,'BANG LUONG 1'!$B$5:$AJ$56,26,0)</f>
        <v>7055432.211538462</v>
      </c>
      <c r="C53" s="421">
        <v>24</v>
      </c>
      <c r="D53" s="41"/>
    </row>
    <row r="54" spans="1:5" x14ac:dyDescent="0.25">
      <c r="A54" s="421" t="s">
        <v>545</v>
      </c>
      <c r="B54" s="412">
        <f>VLOOKUP(B32,'BANG LUONG 1'!$B$5:$AJ$56,27,0)</f>
        <v>3000000</v>
      </c>
      <c r="C54" s="421">
        <v>25</v>
      </c>
      <c r="D54" s="41"/>
    </row>
    <row r="55" spans="1:5" x14ac:dyDescent="0.25">
      <c r="A55" s="421" t="s">
        <v>544</v>
      </c>
      <c r="B55" s="412">
        <f>VLOOKUP(B32,'BANG LUONG 1'!$B$5:$AJ$56,28,0)</f>
        <v>480585</v>
      </c>
      <c r="C55" s="421">
        <v>26</v>
      </c>
      <c r="D55" s="41"/>
    </row>
    <row r="56" spans="1:5" x14ac:dyDescent="0.25">
      <c r="A56" s="421" t="s">
        <v>712</v>
      </c>
      <c r="B56" s="415">
        <f>VLOOKUP(B32,'BANG LUONG 1'!$B$5:$AJ$56,32,0)</f>
        <v>0</v>
      </c>
      <c r="C56" s="421"/>
      <c r="D56" s="41"/>
    </row>
    <row r="57" spans="1:5" x14ac:dyDescent="0.25">
      <c r="A57" s="421" t="s">
        <v>713</v>
      </c>
      <c r="B57" s="415">
        <f>VLOOKUP(B32,'BANG LUONG 1'!$B$5:$AJ$56,33,0)</f>
        <v>0</v>
      </c>
      <c r="C57" s="421"/>
      <c r="D57" s="41"/>
    </row>
    <row r="58" spans="1:5" x14ac:dyDescent="0.25">
      <c r="A58" s="183" t="s">
        <v>707</v>
      </c>
      <c r="B58" s="415">
        <f>VLOOKUP(B32,'BANG LUONG 1'!$B$5:$AJ$56,30,0)</f>
        <v>100000</v>
      </c>
      <c r="C58" s="421"/>
      <c r="D58" s="41"/>
      <c r="E58" s="108" t="str">
        <f>B33</f>
        <v>Kim Em</v>
      </c>
    </row>
    <row r="59" spans="1:5" x14ac:dyDescent="0.25">
      <c r="A59" s="183" t="s">
        <v>546</v>
      </c>
      <c r="B59" s="415">
        <f>VLOOKUP(B32,'BANG LUONG 1'!$B$5:$AJ$56,35,0)</f>
        <v>3675000</v>
      </c>
      <c r="C59" s="421"/>
      <c r="D59" s="41"/>
    </row>
    <row r="60" spans="1:5" x14ac:dyDescent="0.25">
      <c r="A60" s="184" t="s">
        <v>549</v>
      </c>
      <c r="B60" s="424">
        <f>'BANG LUONG 1'!$P$3</f>
        <v>43733</v>
      </c>
    </row>
    <row r="61" spans="1:5" x14ac:dyDescent="0.25">
      <c r="A61" s="183" t="s">
        <v>1</v>
      </c>
      <c r="B61" s="185" t="s">
        <v>162</v>
      </c>
      <c r="C61" s="421">
        <v>1</v>
      </c>
      <c r="D61" s="41"/>
    </row>
    <row r="62" spans="1:5" x14ac:dyDescent="0.25">
      <c r="A62" s="183" t="s">
        <v>2</v>
      </c>
      <c r="B62" s="185" t="str">
        <f>VLOOKUP($B61,'BANG LUONG 1'!$B$6:$AB$51,C62,0)</f>
        <v>Đặng Hải Bằng</v>
      </c>
      <c r="C62" s="421">
        <v>2</v>
      </c>
      <c r="D62" s="41"/>
    </row>
    <row r="63" spans="1:5" ht="14.25" customHeight="1" x14ac:dyDescent="0.25">
      <c r="A63" s="421" t="s">
        <v>3</v>
      </c>
      <c r="B63" s="41" t="str">
        <f>VLOOKUP($B61,'BANG LUONG 1'!$B$6:$AJ$51,C63,0)</f>
        <v xml:space="preserve">Công nhân </v>
      </c>
      <c r="C63" s="421">
        <v>3</v>
      </c>
      <c r="D63" s="41"/>
    </row>
    <row r="64" spans="1:5" ht="14.25" customHeight="1" x14ac:dyDescent="0.25">
      <c r="A64" s="421" t="s">
        <v>376</v>
      </c>
      <c r="B64" s="410">
        <f>VLOOKUP($B61,'BANG LUONG 1'!$B$5:$AJ$56,4,0)</f>
        <v>43523</v>
      </c>
      <c r="C64" s="421">
        <v>4</v>
      </c>
      <c r="D64" s="41"/>
    </row>
    <row r="65" spans="1:5" ht="14.25" customHeight="1" x14ac:dyDescent="0.25">
      <c r="A65" s="421" t="s">
        <v>698</v>
      </c>
      <c r="B65" s="411">
        <f>VLOOKUP(B61,'BANG LUONG 1'!$B$5:$AJ$56,6,0)</f>
        <v>0</v>
      </c>
      <c r="C65" s="421">
        <v>5</v>
      </c>
      <c r="D65" s="41"/>
    </row>
    <row r="66" spans="1:5" ht="14.25" customHeight="1" x14ac:dyDescent="0.25">
      <c r="A66" s="421" t="s">
        <v>229</v>
      </c>
      <c r="B66" s="412">
        <f>'thang luong moi'!$F$5</f>
        <v>4012500</v>
      </c>
      <c r="C66" s="421">
        <v>6</v>
      </c>
      <c r="D66" s="41"/>
    </row>
    <row r="67" spans="1:5" ht="14.25" customHeight="1" x14ac:dyDescent="0.25">
      <c r="A67" s="421" t="s">
        <v>217</v>
      </c>
      <c r="B67" s="412" t="str">
        <f>VLOOKUP(B61,'BANG LUONG 1'!$B$5:$AJ$56,8,0)</f>
        <v>B.05</v>
      </c>
      <c r="C67" s="421">
        <v>7</v>
      </c>
      <c r="D67" s="41"/>
    </row>
    <row r="68" spans="1:5" ht="14.25" customHeight="1" x14ac:dyDescent="0.25">
      <c r="A68" s="421" t="s">
        <v>230</v>
      </c>
      <c r="B68" s="412">
        <f>VLOOKUP(B61,'BANG LUONG 1'!$B$5:$AJ$56,9,0)</f>
        <v>1</v>
      </c>
      <c r="C68" s="421">
        <v>8</v>
      </c>
      <c r="D68" s="41"/>
    </row>
    <row r="69" spans="1:5" ht="14.25" customHeight="1" x14ac:dyDescent="0.25">
      <c r="A69" s="421" t="s">
        <v>538</v>
      </c>
      <c r="B69" s="412">
        <f>VLOOKUP(B61,'BANG LUONG 1'!$B$5:$AJ$56,11,0)</f>
        <v>4213125</v>
      </c>
      <c r="C69" s="421">
        <v>9</v>
      </c>
      <c r="D69" s="41"/>
    </row>
    <row r="70" spans="1:5" ht="14.25" customHeight="1" x14ac:dyDescent="0.25">
      <c r="A70" s="421" t="s">
        <v>354</v>
      </c>
      <c r="B70" s="412">
        <f>VLOOKUP(B61,'BANG LUONG 1'!$B$5:$AJ$56,12,0)</f>
        <v>26</v>
      </c>
      <c r="C70" s="421">
        <v>10</v>
      </c>
      <c r="D70" s="41"/>
    </row>
    <row r="71" spans="1:5" ht="14.25" customHeight="1" x14ac:dyDescent="0.25">
      <c r="A71" s="421" t="s">
        <v>534</v>
      </c>
      <c r="B71" s="412">
        <f>VLOOKUP(B61,'BANG LUONG 1'!$B$5:$AJ$56,13,0)</f>
        <v>4213125</v>
      </c>
      <c r="C71" s="421">
        <v>11</v>
      </c>
      <c r="D71" s="41"/>
    </row>
    <row r="72" spans="1:5" ht="14.25" customHeight="1" x14ac:dyDescent="0.25">
      <c r="A72" s="421" t="s">
        <v>592</v>
      </c>
      <c r="B72" s="412">
        <f>VLOOKUP(B61,'BANG LUONG 1'!$B$5:$AJ$56,14,0)</f>
        <v>0</v>
      </c>
      <c r="C72" s="421">
        <v>12</v>
      </c>
      <c r="D72" s="41">
        <f>B69/26*B72</f>
        <v>0</v>
      </c>
    </row>
    <row r="73" spans="1:5" ht="14.25" customHeight="1" x14ac:dyDescent="0.25">
      <c r="A73" s="421" t="s">
        <v>357</v>
      </c>
      <c r="B73" s="412">
        <f>VLOOKUP(B61,'BANG LUONG 1'!$B$5:$AJ$56,15,0)</f>
        <v>0</v>
      </c>
      <c r="C73" s="421">
        <v>13</v>
      </c>
      <c r="D73" s="41">
        <f>B69/26/8*1.5*B73</f>
        <v>0</v>
      </c>
    </row>
    <row r="74" spans="1:5" ht="14.25" customHeight="1" x14ac:dyDescent="0.25">
      <c r="A74" s="421" t="s">
        <v>387</v>
      </c>
      <c r="B74" s="412">
        <f>VLOOKUP(B61,'BANG LUONG 1'!$B$5:$AJ$56,16,0)</f>
        <v>0</v>
      </c>
      <c r="C74" s="421">
        <v>14</v>
      </c>
      <c r="D74" s="41">
        <f>B69/26/8*2*B74</f>
        <v>0</v>
      </c>
    </row>
    <row r="75" spans="1:5" ht="14.25" customHeight="1" x14ac:dyDescent="0.25">
      <c r="A75" s="421" t="s">
        <v>593</v>
      </c>
      <c r="B75" s="412">
        <f>VLOOKUP(B61,'BANG LUONG 1'!$B$5:$AJ$56,17,0)</f>
        <v>1</v>
      </c>
      <c r="C75" s="421"/>
      <c r="D75" s="41">
        <f>(B69/26)*B75</f>
        <v>162043.26923076922</v>
      </c>
    </row>
    <row r="76" spans="1:5" ht="14.25" customHeight="1" x14ac:dyDescent="0.25">
      <c r="A76" s="421" t="s">
        <v>388</v>
      </c>
      <c r="B76" s="412">
        <f>VLOOKUP(B61,'BANG LUONG 1'!$B$5:$AJ$56,18,0)</f>
        <v>0</v>
      </c>
      <c r="C76" s="421">
        <v>15</v>
      </c>
      <c r="D76" s="41">
        <f>(B69/26*B76)*3</f>
        <v>0</v>
      </c>
    </row>
    <row r="77" spans="1:5" ht="14.25" customHeight="1" x14ac:dyDescent="0.25">
      <c r="A77" s="421" t="s">
        <v>533</v>
      </c>
      <c r="B77" s="412">
        <f>VLOOKUP(B61,'BANG LUONG 1'!$B$5:$AJ$56,19,0)</f>
        <v>4375168.269230769</v>
      </c>
      <c r="C77" s="183">
        <v>16</v>
      </c>
      <c r="D77" s="185">
        <f>B71+D73+D74+D72+D76+D75</f>
        <v>4375168.269230769</v>
      </c>
      <c r="E77" s="108"/>
    </row>
    <row r="78" spans="1:5" ht="14.25" customHeight="1" x14ac:dyDescent="0.25">
      <c r="A78" s="421" t="s">
        <v>535</v>
      </c>
      <c r="B78" s="412">
        <f>VLOOKUP(B61,'BANG LUONG 1'!$B$5:$AJ$56,20,0)</f>
        <v>286875</v>
      </c>
      <c r="C78" s="421">
        <v>17</v>
      </c>
      <c r="D78" s="41"/>
    </row>
    <row r="79" spans="1:5" ht="14.25" customHeight="1" x14ac:dyDescent="0.25">
      <c r="A79" s="421" t="s">
        <v>370</v>
      </c>
      <c r="B79" s="412">
        <f>VLOOKUP(B61,'BANG LUONG 1'!$B$5:$AJ$56,22,0)</f>
        <v>0</v>
      </c>
      <c r="C79" s="421">
        <v>18</v>
      </c>
      <c r="D79" s="41"/>
    </row>
    <row r="80" spans="1:5" ht="14.25" customHeight="1" x14ac:dyDescent="0.25">
      <c r="A80" s="421" t="s">
        <v>371</v>
      </c>
      <c r="B80" s="412">
        <f>VLOOKUP(B61,'BANG LUONG 1'!$B$5:$AJ$56,23,0)</f>
        <v>300000</v>
      </c>
      <c r="C80" s="421">
        <v>19</v>
      </c>
      <c r="D80" s="41"/>
    </row>
    <row r="81" spans="1:5" ht="14.25" customHeight="1" x14ac:dyDescent="0.25">
      <c r="A81" s="421" t="s">
        <v>560</v>
      </c>
      <c r="B81" s="412">
        <f>VLOOKUP(B61,'BANG LUONG 1'!$B$5:$AJ$56,24,0)</f>
        <v>0</v>
      </c>
      <c r="C81" s="421">
        <v>22</v>
      </c>
      <c r="D81" s="41"/>
    </row>
    <row r="82" spans="1:5" ht="14.25" customHeight="1" x14ac:dyDescent="0.25">
      <c r="A82" s="183" t="s">
        <v>237</v>
      </c>
      <c r="B82" s="415">
        <f>VLOOKUP(B61,'BANG LUONG 1'!$B$5:$AJ$56,26,0)</f>
        <v>4962043.269230769</v>
      </c>
      <c r="C82" s="421">
        <v>24</v>
      </c>
      <c r="D82" s="41"/>
    </row>
    <row r="83" spans="1:5" ht="14.25" customHeight="1" x14ac:dyDescent="0.25">
      <c r="A83" s="421" t="s">
        <v>545</v>
      </c>
      <c r="B83" s="412">
        <f>VLOOKUP(B61,'BANG LUONG 1'!$B$5:$AJ$56,27,0)</f>
        <v>0</v>
      </c>
      <c r="C83" s="421">
        <v>25</v>
      </c>
      <c r="D83" s="41"/>
    </row>
    <row r="84" spans="1:5" ht="14.25" customHeight="1" x14ac:dyDescent="0.25">
      <c r="A84" s="421" t="s">
        <v>544</v>
      </c>
      <c r="B84" s="412">
        <f>VLOOKUP(B61,'BANG LUONG 1'!$B$5:$AJ$56,28,0)</f>
        <v>0</v>
      </c>
      <c r="C84" s="421">
        <v>26</v>
      </c>
      <c r="D84" s="41"/>
    </row>
    <row r="85" spans="1:5" ht="14.25" customHeight="1" x14ac:dyDescent="0.25">
      <c r="A85" s="421" t="s">
        <v>712</v>
      </c>
      <c r="B85" s="415">
        <f>VLOOKUP(B61,'BANG LUONG 1'!$B$5:$AJ$56,32,0)</f>
        <v>0</v>
      </c>
      <c r="C85" s="421"/>
      <c r="D85" s="41"/>
    </row>
    <row r="86" spans="1:5" ht="14.25" customHeight="1" x14ac:dyDescent="0.25">
      <c r="A86" s="421" t="s">
        <v>713</v>
      </c>
      <c r="B86" s="415">
        <f>VLOOKUP(B61,'BANG LUONG 1'!$B$5:$AJ$56,33,0)</f>
        <v>0</v>
      </c>
      <c r="C86" s="421"/>
      <c r="D86" s="41"/>
    </row>
    <row r="87" spans="1:5" ht="14.25" customHeight="1" x14ac:dyDescent="0.25">
      <c r="A87" s="183" t="s">
        <v>707</v>
      </c>
      <c r="B87" s="415">
        <f>VLOOKUP(B61,'BANG LUONG 1'!$B$5:$AJ$56,30,0)</f>
        <v>100000</v>
      </c>
      <c r="C87" s="421"/>
      <c r="D87" s="41"/>
      <c r="E87" s="108" t="str">
        <f>B62</f>
        <v>Đặng Hải Bằng</v>
      </c>
    </row>
    <row r="88" spans="1:5" ht="14.25" customHeight="1" x14ac:dyDescent="0.25">
      <c r="A88" s="183" t="s">
        <v>546</v>
      </c>
      <c r="B88" s="415">
        <f>VLOOKUP(B61,'BANG LUONG 1'!$B$5:$AJ$56,35,0)</f>
        <v>5062000</v>
      </c>
      <c r="C88" s="421"/>
      <c r="D88" s="41"/>
    </row>
    <row r="89" spans="1:5" ht="14.25" customHeight="1" x14ac:dyDescent="0.25">
      <c r="A89" s="524"/>
      <c r="B89" s="724"/>
      <c r="C89" s="129"/>
      <c r="D89" s="133"/>
    </row>
    <row r="90" spans="1:5" x14ac:dyDescent="0.25">
      <c r="A90" s="184" t="s">
        <v>549</v>
      </c>
      <c r="B90" s="424">
        <f>'BANG LUONG 1'!$P$3</f>
        <v>43733</v>
      </c>
    </row>
    <row r="91" spans="1:5" x14ac:dyDescent="0.25">
      <c r="A91" s="183" t="s">
        <v>1</v>
      </c>
      <c r="B91" s="185" t="s">
        <v>165</v>
      </c>
      <c r="C91" s="421">
        <v>1</v>
      </c>
      <c r="D91" s="41"/>
    </row>
    <row r="92" spans="1:5" x14ac:dyDescent="0.25">
      <c r="A92" s="183" t="s">
        <v>2</v>
      </c>
      <c r="B92" s="185" t="str">
        <f>VLOOKUP($B91,'BANG LUONG 1'!$B$6:$AB$61,C92,0)</f>
        <v>Danh Ngòi</v>
      </c>
      <c r="C92" s="421">
        <v>2</v>
      </c>
      <c r="D92" s="41"/>
    </row>
    <row r="93" spans="1:5" ht="14.25" customHeight="1" x14ac:dyDescent="0.25">
      <c r="A93" s="421" t="s">
        <v>3</v>
      </c>
      <c r="B93" s="41" t="str">
        <f>VLOOKUP($B91,'BANG LUONG 1'!$B$6:$AJ$61,C93,0)</f>
        <v>Công nhân</v>
      </c>
      <c r="C93" s="421">
        <v>3</v>
      </c>
      <c r="D93" s="41"/>
    </row>
    <row r="94" spans="1:5" ht="14.25" customHeight="1" x14ac:dyDescent="0.25">
      <c r="A94" s="421" t="s">
        <v>376</v>
      </c>
      <c r="B94" s="410">
        <f>VLOOKUP($B91,'BANG LUONG 1'!$B$5:$AJ$56,4,0)</f>
        <v>43626</v>
      </c>
      <c r="C94" s="421">
        <v>4</v>
      </c>
      <c r="D94" s="41"/>
    </row>
    <row r="95" spans="1:5" ht="14.25" customHeight="1" x14ac:dyDescent="0.25">
      <c r="A95" s="421" t="s">
        <v>698</v>
      </c>
      <c r="B95" s="411">
        <f>VLOOKUP(B91,'BANG LUONG 1'!$B$5:$AJ$56,6,0)</f>
        <v>0</v>
      </c>
      <c r="C95" s="421">
        <v>5</v>
      </c>
      <c r="D95" s="41"/>
    </row>
    <row r="96" spans="1:5" ht="14.25" customHeight="1" x14ac:dyDescent="0.25">
      <c r="A96" s="421" t="s">
        <v>229</v>
      </c>
      <c r="B96" s="412">
        <f>'thang luong moi'!$F$5</f>
        <v>4012500</v>
      </c>
      <c r="C96" s="421">
        <v>6</v>
      </c>
      <c r="D96" s="41"/>
    </row>
    <row r="97" spans="1:5" ht="14.25" customHeight="1" x14ac:dyDescent="0.25">
      <c r="A97" s="421" t="s">
        <v>217</v>
      </c>
      <c r="B97" s="412" t="str">
        <f>VLOOKUP(B91,'BANG LUONG 1'!$B$5:$AJ$56,8,0)</f>
        <v>B.05</v>
      </c>
      <c r="C97" s="421">
        <v>7</v>
      </c>
      <c r="D97" s="41"/>
    </row>
    <row r="98" spans="1:5" ht="14.25" customHeight="1" x14ac:dyDescent="0.25">
      <c r="A98" s="421" t="s">
        <v>230</v>
      </c>
      <c r="B98" s="412">
        <f>VLOOKUP(B91,'BANG LUONG 1'!$B$5:$AJ$56,9,0)</f>
        <v>1</v>
      </c>
      <c r="C98" s="421">
        <v>8</v>
      </c>
      <c r="D98" s="41"/>
    </row>
    <row r="99" spans="1:5" ht="14.25" customHeight="1" x14ac:dyDescent="0.25">
      <c r="A99" s="421" t="s">
        <v>538</v>
      </c>
      <c r="B99" s="412">
        <f>VLOOKUP(B91,'BANG LUONG 1'!$B$5:$AJ$56,11,0)</f>
        <v>4213125</v>
      </c>
      <c r="C99" s="421">
        <v>9</v>
      </c>
      <c r="D99" s="41"/>
    </row>
    <row r="100" spans="1:5" ht="14.25" customHeight="1" x14ac:dyDescent="0.25">
      <c r="A100" s="421" t="s">
        <v>354</v>
      </c>
      <c r="B100" s="412">
        <f>VLOOKUP(B91,'BANG LUONG 1'!$B$5:$AJ$56,12,0)</f>
        <v>26</v>
      </c>
      <c r="C100" s="421">
        <v>10</v>
      </c>
      <c r="D100" s="41"/>
    </row>
    <row r="101" spans="1:5" ht="14.25" customHeight="1" x14ac:dyDescent="0.25">
      <c r="A101" s="421" t="s">
        <v>534</v>
      </c>
      <c r="B101" s="412">
        <f>VLOOKUP(B91,'BANG LUONG 1'!$B$5:$AJ$56,13,0)</f>
        <v>4213125</v>
      </c>
      <c r="C101" s="421">
        <v>11</v>
      </c>
      <c r="D101" s="41"/>
    </row>
    <row r="102" spans="1:5" ht="14.25" customHeight="1" x14ac:dyDescent="0.25">
      <c r="A102" s="421" t="s">
        <v>592</v>
      </c>
      <c r="B102" s="412">
        <f>VLOOKUP(B91,'BANG LUONG 1'!$B$5:$AJ$56,14,0)</f>
        <v>0</v>
      </c>
      <c r="C102" s="421">
        <v>12</v>
      </c>
      <c r="D102" s="41">
        <f>B99/26*B102</f>
        <v>0</v>
      </c>
    </row>
    <row r="103" spans="1:5" ht="14.25" customHeight="1" x14ac:dyDescent="0.25">
      <c r="A103" s="421" t="s">
        <v>357</v>
      </c>
      <c r="B103" s="412">
        <f>VLOOKUP(B91,'BANG LUONG 1'!$B$5:$AJ$56,15,0)</f>
        <v>0</v>
      </c>
      <c r="C103" s="421">
        <v>13</v>
      </c>
      <c r="D103" s="41">
        <f>B99/26/8*1.5*B103</f>
        <v>0</v>
      </c>
    </row>
    <row r="104" spans="1:5" ht="14.25" customHeight="1" x14ac:dyDescent="0.25">
      <c r="A104" s="421" t="s">
        <v>387</v>
      </c>
      <c r="B104" s="412">
        <f>VLOOKUP(B91,'BANG LUONG 1'!$B$5:$AJ$56,16,0)</f>
        <v>24</v>
      </c>
      <c r="C104" s="421">
        <v>14</v>
      </c>
      <c r="D104" s="41">
        <f>B99/26/8*2*B104</f>
        <v>972259.61538461526</v>
      </c>
    </row>
    <row r="105" spans="1:5" ht="14.25" customHeight="1" x14ac:dyDescent="0.25">
      <c r="A105" s="421" t="s">
        <v>593</v>
      </c>
      <c r="B105" s="412">
        <f>VLOOKUP(B91,'BANG LUONG 1'!$B$5:$AJ$56,17,0)</f>
        <v>0</v>
      </c>
      <c r="C105" s="421"/>
      <c r="D105" s="41">
        <f>(B99/26)*B105</f>
        <v>0</v>
      </c>
    </row>
    <row r="106" spans="1:5" ht="14.25" customHeight="1" x14ac:dyDescent="0.25">
      <c r="A106" s="421" t="s">
        <v>388</v>
      </c>
      <c r="B106" s="412">
        <f>VLOOKUP(B91,'BANG LUONG 1'!$B$5:$AJ$56,18,0)</f>
        <v>1</v>
      </c>
      <c r="C106" s="421">
        <v>15</v>
      </c>
      <c r="D106" s="41">
        <f>(B99/26*B106)*3</f>
        <v>486129.80769230763</v>
      </c>
    </row>
    <row r="107" spans="1:5" ht="14.25" customHeight="1" x14ac:dyDescent="0.25">
      <c r="A107" s="421" t="s">
        <v>533</v>
      </c>
      <c r="B107" s="412">
        <f>VLOOKUP(B91,'BANG LUONG 1'!$B$5:$AJ$56,19,0)</f>
        <v>5671514.423076923</v>
      </c>
      <c r="C107" s="183">
        <v>16</v>
      </c>
      <c r="D107" s="185">
        <f>B101+D103+D104+D102+D106+D105</f>
        <v>5671514.423076923</v>
      </c>
      <c r="E107" s="108"/>
    </row>
    <row r="108" spans="1:5" ht="14.25" customHeight="1" x14ac:dyDescent="0.25">
      <c r="A108" s="421" t="s">
        <v>535</v>
      </c>
      <c r="B108" s="412">
        <f>VLOOKUP(B91,'BANG LUONG 1'!$B$5:$AJ$56,20,0)</f>
        <v>1209951.9230769239</v>
      </c>
      <c r="C108" s="421">
        <v>17</v>
      </c>
      <c r="D108" s="41"/>
    </row>
    <row r="109" spans="1:5" ht="14.25" customHeight="1" x14ac:dyDescent="0.25">
      <c r="A109" s="421" t="s">
        <v>370</v>
      </c>
      <c r="B109" s="412">
        <f>VLOOKUP(B91,'BANG LUONG 1'!$B$5:$AJ$56,22,0)</f>
        <v>0</v>
      </c>
      <c r="C109" s="421">
        <v>18</v>
      </c>
      <c r="D109" s="41"/>
    </row>
    <row r="110" spans="1:5" ht="14.25" customHeight="1" x14ac:dyDescent="0.25">
      <c r="A110" s="421" t="s">
        <v>371</v>
      </c>
      <c r="B110" s="412">
        <f>VLOOKUP(B91,'BANG LUONG 1'!$B$5:$AJ$56,23,0)</f>
        <v>300000</v>
      </c>
      <c r="C110" s="421">
        <v>19</v>
      </c>
      <c r="D110" s="41"/>
    </row>
    <row r="111" spans="1:5" ht="14.25" customHeight="1" x14ac:dyDescent="0.25">
      <c r="A111" s="421" t="s">
        <v>560</v>
      </c>
      <c r="B111" s="412">
        <f>VLOOKUP(B91,'BANG LUONG 1'!$B$5:$AJ$56,24,0)</f>
        <v>0</v>
      </c>
      <c r="C111" s="421">
        <v>22</v>
      </c>
      <c r="D111" s="41"/>
    </row>
    <row r="112" spans="1:5" ht="14.25" customHeight="1" x14ac:dyDescent="0.25">
      <c r="A112" s="183" t="s">
        <v>237</v>
      </c>
      <c r="B112" s="415">
        <f>VLOOKUP(B91,'BANG LUONG 1'!$B$5:$AJ$56,26,0)</f>
        <v>7181466.3461538469</v>
      </c>
      <c r="C112" s="421">
        <v>24</v>
      </c>
      <c r="D112" s="41"/>
    </row>
    <row r="113" spans="1:5" ht="14.25" customHeight="1" x14ac:dyDescent="0.25">
      <c r="A113" s="421" t="s">
        <v>545</v>
      </c>
      <c r="B113" s="412">
        <f>VLOOKUP(B91,'BANG LUONG 1'!$B$5:$AJ$56,27,0)</f>
        <v>0</v>
      </c>
      <c r="C113" s="421">
        <v>25</v>
      </c>
      <c r="D113" s="41"/>
    </row>
    <row r="114" spans="1:5" ht="14.25" customHeight="1" x14ac:dyDescent="0.25">
      <c r="A114" s="421" t="s">
        <v>544</v>
      </c>
      <c r="B114" s="412">
        <f>VLOOKUP(B91,'BANG LUONG 1'!$B$5:$AJ$56,28,0)</f>
        <v>0</v>
      </c>
      <c r="C114" s="421">
        <v>26</v>
      </c>
      <c r="D114" s="41"/>
    </row>
    <row r="115" spans="1:5" ht="14.25" customHeight="1" x14ac:dyDescent="0.25">
      <c r="A115" s="421" t="s">
        <v>712</v>
      </c>
      <c r="B115" s="415">
        <f>VLOOKUP(B91,'BANG LUONG 1'!$B$5:$AJ$56,32,0)</f>
        <v>0</v>
      </c>
      <c r="C115" s="421"/>
      <c r="D115" s="41"/>
    </row>
    <row r="116" spans="1:5" ht="14.25" customHeight="1" x14ac:dyDescent="0.25">
      <c r="A116" s="421" t="s">
        <v>713</v>
      </c>
      <c r="B116" s="415">
        <f>VLOOKUP(B91,'BANG LUONG 1'!$B$5:$AJ$56,33,0)</f>
        <v>0</v>
      </c>
      <c r="C116" s="421"/>
      <c r="D116" s="41"/>
    </row>
    <row r="117" spans="1:5" ht="14.25" customHeight="1" x14ac:dyDescent="0.25">
      <c r="A117" s="183" t="s">
        <v>707</v>
      </c>
      <c r="B117" s="415">
        <f>VLOOKUP(B91,'BANG LUONG 1'!$B$5:$AJ$56,30,0)</f>
        <v>100000</v>
      </c>
      <c r="C117" s="421"/>
      <c r="D117" s="41"/>
      <c r="E117" s="108" t="str">
        <f>B92</f>
        <v>Danh Ngòi</v>
      </c>
    </row>
    <row r="118" spans="1:5" ht="14.25" customHeight="1" x14ac:dyDescent="0.25">
      <c r="A118" s="183" t="s">
        <v>546</v>
      </c>
      <c r="B118" s="415">
        <f>VLOOKUP(B91,'BANG LUONG 1'!$B$5:$AJ$56,35,0)</f>
        <v>7281000</v>
      </c>
      <c r="C118" s="421"/>
      <c r="D118" s="41"/>
    </row>
    <row r="119" spans="1:5" ht="14.25" customHeight="1" x14ac:dyDescent="0.25">
      <c r="A119" s="524"/>
      <c r="B119" s="724"/>
      <c r="C119" s="129"/>
      <c r="D119" s="133"/>
    </row>
    <row r="120" spans="1:5" ht="18" customHeight="1" x14ac:dyDescent="0.25">
      <c r="A120" s="184" t="s">
        <v>549</v>
      </c>
      <c r="B120" s="424">
        <f>'BANG LUONG 1'!$P$3</f>
        <v>43733</v>
      </c>
    </row>
    <row r="121" spans="1:5" x14ac:dyDescent="0.25">
      <c r="A121" s="183" t="s">
        <v>1</v>
      </c>
      <c r="B121" s="185" t="s">
        <v>168</v>
      </c>
      <c r="C121" s="421">
        <v>1</v>
      </c>
      <c r="D121" s="41"/>
    </row>
    <row r="122" spans="1:5" x14ac:dyDescent="0.25">
      <c r="A122" s="183" t="s">
        <v>2</v>
      </c>
      <c r="B122" s="185" t="str">
        <f>VLOOKUP($B121,'BANG LUONG 1'!$B$6:$AB$51,C122,0)</f>
        <v>Nguyễn Văn Chương</v>
      </c>
      <c r="C122" s="421">
        <v>2</v>
      </c>
      <c r="D122" s="41"/>
    </row>
    <row r="123" spans="1:5" x14ac:dyDescent="0.25">
      <c r="A123" s="421" t="s">
        <v>3</v>
      </c>
      <c r="B123" s="41" t="str">
        <f>VLOOKUP($B121,'BANG LUONG 1'!$B$6:$AJ$51,C123,0)</f>
        <v xml:space="preserve">Công nhân </v>
      </c>
      <c r="C123" s="421">
        <v>3</v>
      </c>
      <c r="D123" s="41"/>
    </row>
    <row r="124" spans="1:5" x14ac:dyDescent="0.25">
      <c r="A124" s="421" t="s">
        <v>376</v>
      </c>
      <c r="B124" s="410">
        <f>VLOOKUP($B121,'BANG LUONG 1'!$B$5:$AJ$56,4,0)</f>
        <v>43697</v>
      </c>
      <c r="C124" s="421">
        <v>4</v>
      </c>
      <c r="D124" s="41"/>
    </row>
    <row r="125" spans="1:5" x14ac:dyDescent="0.25">
      <c r="A125" s="421" t="s">
        <v>698</v>
      </c>
      <c r="B125" s="411">
        <f>VLOOKUP(B121,'BANG LUONG 1'!$B$5:$AJ$56,6,0)</f>
        <v>0</v>
      </c>
      <c r="C125" s="421">
        <v>5</v>
      </c>
      <c r="D125" s="41"/>
    </row>
    <row r="126" spans="1:5" x14ac:dyDescent="0.25">
      <c r="A126" s="421" t="s">
        <v>229</v>
      </c>
      <c r="B126" s="412">
        <f>'thang luong moi'!$F$5</f>
        <v>4012500</v>
      </c>
      <c r="C126" s="421">
        <v>6</v>
      </c>
      <c r="D126" s="41"/>
    </row>
    <row r="127" spans="1:5" x14ac:dyDescent="0.25">
      <c r="A127" s="421" t="s">
        <v>217</v>
      </c>
      <c r="B127" s="412" t="str">
        <f>VLOOKUP(B121,'BANG LUONG 1'!$B$5:$AJ$56,8,0)</f>
        <v>B.05</v>
      </c>
      <c r="C127" s="421">
        <v>7</v>
      </c>
      <c r="D127" s="41"/>
    </row>
    <row r="128" spans="1:5" x14ac:dyDescent="0.25">
      <c r="A128" s="421" t="s">
        <v>230</v>
      </c>
      <c r="B128" s="412">
        <f>VLOOKUP(B121,'BANG LUONG 1'!$B$5:$AJ$56,9,0)</f>
        <v>1</v>
      </c>
      <c r="C128" s="421">
        <v>8</v>
      </c>
      <c r="D128" s="41"/>
    </row>
    <row r="129" spans="1:5" x14ac:dyDescent="0.25">
      <c r="A129" s="421" t="s">
        <v>538</v>
      </c>
      <c r="B129" s="412">
        <f>VLOOKUP(B121,'BANG LUONG 1'!$B$5:$AJ$56,11,0)</f>
        <v>4213125</v>
      </c>
      <c r="C129" s="421">
        <v>9</v>
      </c>
      <c r="D129" s="41"/>
    </row>
    <row r="130" spans="1:5" x14ac:dyDescent="0.25">
      <c r="A130" s="421" t="s">
        <v>354</v>
      </c>
      <c r="B130" s="412">
        <f>VLOOKUP(B121,'BANG LUONG 1'!$B$5:$AJ$56,12,0)</f>
        <v>26</v>
      </c>
      <c r="C130" s="421">
        <v>10</v>
      </c>
      <c r="D130" s="41"/>
    </row>
    <row r="131" spans="1:5" x14ac:dyDescent="0.25">
      <c r="A131" s="421" t="s">
        <v>534</v>
      </c>
      <c r="B131" s="412">
        <f>VLOOKUP(B121,'BANG LUONG 1'!$B$5:$AJ$56,13,0)</f>
        <v>4213125</v>
      </c>
      <c r="C131" s="421">
        <v>11</v>
      </c>
      <c r="D131" s="41"/>
    </row>
    <row r="132" spans="1:5" x14ac:dyDescent="0.25">
      <c r="A132" s="421" t="s">
        <v>592</v>
      </c>
      <c r="B132" s="412">
        <f>VLOOKUP(B121,'BANG LUONG 1'!$B$5:$AJ$56,14,0)</f>
        <v>0</v>
      </c>
      <c r="C132" s="421">
        <v>12</v>
      </c>
      <c r="D132" s="41">
        <f>B129/26*B132</f>
        <v>0</v>
      </c>
    </row>
    <row r="133" spans="1:5" x14ac:dyDescent="0.25">
      <c r="A133" s="421" t="s">
        <v>357</v>
      </c>
      <c r="B133" s="412">
        <f>VLOOKUP(B121,'BANG LUONG 1'!$B$5:$AJ$56,15,0)</f>
        <v>0</v>
      </c>
      <c r="C133" s="421">
        <v>13</v>
      </c>
      <c r="D133" s="41">
        <f>B129/26/8*1.5*B133</f>
        <v>0</v>
      </c>
    </row>
    <row r="134" spans="1:5" x14ac:dyDescent="0.25">
      <c r="A134" s="421" t="s">
        <v>387</v>
      </c>
      <c r="B134" s="412">
        <f>VLOOKUP(B121,'BANG LUONG 1'!$B$5:$AJ$56,16,0)</f>
        <v>24</v>
      </c>
      <c r="C134" s="421">
        <v>14</v>
      </c>
      <c r="D134" s="41">
        <f>B129/26/8*2*B134</f>
        <v>972259.61538461526</v>
      </c>
    </row>
    <row r="135" spans="1:5" x14ac:dyDescent="0.25">
      <c r="A135" s="421" t="s">
        <v>593</v>
      </c>
      <c r="B135" s="412">
        <f>VLOOKUP(B121,'BANG LUONG 1'!$B$5:$AJ$56,17,0)</f>
        <v>1</v>
      </c>
      <c r="C135" s="421"/>
      <c r="D135" s="41">
        <f>(B129/26)*B135</f>
        <v>162043.26923076922</v>
      </c>
    </row>
    <row r="136" spans="1:5" x14ac:dyDescent="0.25">
      <c r="A136" s="421" t="s">
        <v>388</v>
      </c>
      <c r="B136" s="412">
        <f>VLOOKUP(B121,'BANG LUONG 1'!$B$5:$AJ$56,18,0)</f>
        <v>0</v>
      </c>
      <c r="C136" s="421">
        <v>15</v>
      </c>
      <c r="D136" s="41">
        <f>(B129/26*B136)*3</f>
        <v>0</v>
      </c>
    </row>
    <row r="137" spans="1:5" x14ac:dyDescent="0.25">
      <c r="A137" s="421" t="s">
        <v>533</v>
      </c>
      <c r="B137" s="412">
        <f>VLOOKUP(B121,'BANG LUONG 1'!$B$5:$AJ$56,19,0)</f>
        <v>5347427.884615384</v>
      </c>
      <c r="C137" s="183">
        <v>16</v>
      </c>
      <c r="D137" s="185">
        <f>B131+D133+D134+D132+D136+D135</f>
        <v>5347427.884615384</v>
      </c>
      <c r="E137" s="108"/>
    </row>
    <row r="138" spans="1:5" x14ac:dyDescent="0.25">
      <c r="A138" s="421" t="s">
        <v>535</v>
      </c>
      <c r="B138" s="412">
        <f>VLOOKUP(B121,'BANG LUONG 1'!$B$5:$AJ$56,20,0)</f>
        <v>806105.76923076902</v>
      </c>
      <c r="C138" s="421">
        <v>17</v>
      </c>
      <c r="D138" s="41"/>
    </row>
    <row r="139" spans="1:5" x14ac:dyDescent="0.25">
      <c r="A139" s="421" t="s">
        <v>370</v>
      </c>
      <c r="B139" s="412">
        <f>VLOOKUP(B121,'BANG LUONG 1'!$B$5:$AJ$56,22,0)</f>
        <v>0</v>
      </c>
      <c r="C139" s="421">
        <v>18</v>
      </c>
      <c r="D139" s="41"/>
    </row>
    <row r="140" spans="1:5" x14ac:dyDescent="0.25">
      <c r="A140" s="421" t="s">
        <v>371</v>
      </c>
      <c r="B140" s="412">
        <f>VLOOKUP(B121,'BANG LUONG 1'!$B$5:$AJ$56,23,0)</f>
        <v>300000</v>
      </c>
      <c r="C140" s="421">
        <v>19</v>
      </c>
      <c r="D140" s="41"/>
    </row>
    <row r="141" spans="1:5" x14ac:dyDescent="0.25">
      <c r="A141" s="421" t="s">
        <v>560</v>
      </c>
      <c r="B141" s="412">
        <f>VLOOKUP(B121,'BANG LUONG 1'!$B$5:$AJ$56,24,0)</f>
        <v>0</v>
      </c>
      <c r="C141" s="421">
        <v>22</v>
      </c>
      <c r="D141" s="41"/>
    </row>
    <row r="142" spans="1:5" x14ac:dyDescent="0.25">
      <c r="A142" s="183" t="s">
        <v>237</v>
      </c>
      <c r="B142" s="415">
        <f>VLOOKUP(B121,'BANG LUONG 1'!$B$5:$AJ$56,26,0)</f>
        <v>6453533.6538461531</v>
      </c>
      <c r="C142" s="421">
        <v>24</v>
      </c>
      <c r="D142" s="41"/>
    </row>
    <row r="143" spans="1:5" x14ac:dyDescent="0.25">
      <c r="A143" s="421" t="s">
        <v>545</v>
      </c>
      <c r="B143" s="412">
        <f>VLOOKUP(B121,'BANG LUONG 1'!$B$5:$AJ$56,27,0)</f>
        <v>3000000</v>
      </c>
      <c r="C143" s="421">
        <v>25</v>
      </c>
      <c r="D143" s="41"/>
    </row>
    <row r="144" spans="1:5" x14ac:dyDescent="0.25">
      <c r="A144" s="421" t="s">
        <v>544</v>
      </c>
      <c r="B144" s="412">
        <f>VLOOKUP(B121,'BANG LUONG 1'!$B$5:$AJ$56,28,0)</f>
        <v>0</v>
      </c>
      <c r="C144" s="421">
        <v>26</v>
      </c>
      <c r="D144" s="41"/>
    </row>
    <row r="145" spans="1:5" x14ac:dyDescent="0.25">
      <c r="A145" s="421" t="s">
        <v>712</v>
      </c>
      <c r="B145" s="415">
        <f>VLOOKUP(B121,'BANG LUONG 1'!$B$5:$AJ$56,32,0)</f>
        <v>0</v>
      </c>
      <c r="C145" s="421"/>
      <c r="D145" s="41"/>
    </row>
    <row r="146" spans="1:5" x14ac:dyDescent="0.25">
      <c r="A146" s="421" t="s">
        <v>713</v>
      </c>
      <c r="B146" s="415">
        <f>VLOOKUP(B121,'BANG LUONG 1'!$B$5:$AJ$56,33,0)</f>
        <v>0</v>
      </c>
      <c r="C146" s="421"/>
      <c r="D146" s="41"/>
    </row>
    <row r="147" spans="1:5" x14ac:dyDescent="0.25">
      <c r="A147" s="183" t="s">
        <v>707</v>
      </c>
      <c r="B147" s="415">
        <f>VLOOKUP(B121,'BANG LUONG 1'!$B$5:$AJ$56,30,0)</f>
        <v>100000</v>
      </c>
      <c r="C147" s="421"/>
      <c r="D147" s="41"/>
      <c r="E147" s="108" t="str">
        <f>B122</f>
        <v>Nguyễn Văn Chương</v>
      </c>
    </row>
    <row r="148" spans="1:5" x14ac:dyDescent="0.25">
      <c r="A148" s="183" t="s">
        <v>546</v>
      </c>
      <c r="B148" s="415">
        <f>VLOOKUP(B121,'BANG LUONG 1'!$B$5:$AJ$56,35,0)</f>
        <v>3554000</v>
      </c>
      <c r="C148" s="421"/>
      <c r="D148" s="41"/>
    </row>
    <row r="149" spans="1:5" ht="18" customHeight="1" x14ac:dyDescent="0.25">
      <c r="A149" s="184" t="s">
        <v>549</v>
      </c>
      <c r="B149" s="424">
        <f>'BANG LUONG 1'!$P$3</f>
        <v>43733</v>
      </c>
    </row>
    <row r="150" spans="1:5" x14ac:dyDescent="0.25">
      <c r="A150" s="183" t="s">
        <v>1</v>
      </c>
      <c r="B150" s="185" t="s">
        <v>127</v>
      </c>
      <c r="C150" s="421">
        <v>1</v>
      </c>
      <c r="D150" s="41"/>
    </row>
    <row r="151" spans="1:5" x14ac:dyDescent="0.25">
      <c r="A151" s="183" t="s">
        <v>2</v>
      </c>
      <c r="B151" s="185" t="str">
        <f>VLOOKUP($B150,'BANG LUONG 1'!$B$6:$AB$51,C151,0)</f>
        <v>Nguyễn Bình Luận</v>
      </c>
      <c r="C151" s="421">
        <v>2</v>
      </c>
      <c r="D151" s="41"/>
    </row>
    <row r="152" spans="1:5" x14ac:dyDescent="0.25">
      <c r="A152" s="421" t="s">
        <v>3</v>
      </c>
      <c r="B152" s="41" t="str">
        <f>VLOOKUP($B150,'BANG LUONG 1'!$B$6:$AJ$51,C152,0)</f>
        <v xml:space="preserve">Công nhân </v>
      </c>
      <c r="C152" s="421">
        <v>3</v>
      </c>
      <c r="D152" s="41"/>
    </row>
    <row r="153" spans="1:5" x14ac:dyDescent="0.25">
      <c r="A153" s="421" t="s">
        <v>376</v>
      </c>
      <c r="B153" s="410">
        <f>VLOOKUP($B150,'BANG LUONG 1'!$B$5:$AJ$56,4,0)</f>
        <v>42731</v>
      </c>
      <c r="C153" s="421">
        <v>4</v>
      </c>
      <c r="D153" s="41"/>
    </row>
    <row r="154" spans="1:5" x14ac:dyDescent="0.25">
      <c r="A154" s="421" t="s">
        <v>698</v>
      </c>
      <c r="B154" s="411">
        <f>VLOOKUP(B150,'BANG LUONG 1'!$B$5:$AJ$56,6,0)</f>
        <v>0</v>
      </c>
      <c r="C154" s="421">
        <v>5</v>
      </c>
      <c r="D154" s="41"/>
    </row>
    <row r="155" spans="1:5" x14ac:dyDescent="0.25">
      <c r="A155" s="421" t="s">
        <v>229</v>
      </c>
      <c r="B155" s="412">
        <f>'thang luong moi'!$F$5</f>
        <v>4012500</v>
      </c>
      <c r="C155" s="421">
        <v>6</v>
      </c>
      <c r="D155" s="41"/>
    </row>
    <row r="156" spans="1:5" x14ac:dyDescent="0.25">
      <c r="A156" s="421" t="s">
        <v>217</v>
      </c>
      <c r="B156" s="412" t="str">
        <f>VLOOKUP(B150,'BANG LUONG 1'!$B$5:$AJ$56,8,0)</f>
        <v>B.05</v>
      </c>
      <c r="C156" s="421">
        <v>7</v>
      </c>
      <c r="D156" s="41"/>
    </row>
    <row r="157" spans="1:5" x14ac:dyDescent="0.25">
      <c r="A157" s="421" t="s">
        <v>230</v>
      </c>
      <c r="B157" s="412">
        <f>VLOOKUP(B150,'BANG LUONG 1'!$B$5:$AJ$56,9,0)</f>
        <v>1</v>
      </c>
      <c r="C157" s="421">
        <v>8</v>
      </c>
      <c r="D157" s="41"/>
    </row>
    <row r="158" spans="1:5" x14ac:dyDescent="0.25">
      <c r="A158" s="421" t="s">
        <v>538</v>
      </c>
      <c r="B158" s="412">
        <f>VLOOKUP(B150,'BANG LUONG 1'!$B$5:$AJ$56,11,0)</f>
        <v>4213125</v>
      </c>
      <c r="C158" s="421">
        <v>9</v>
      </c>
      <c r="D158" s="41"/>
    </row>
    <row r="159" spans="1:5" x14ac:dyDescent="0.25">
      <c r="A159" s="421" t="s">
        <v>354</v>
      </c>
      <c r="B159" s="412">
        <f>VLOOKUP(B150,'BANG LUONG 1'!$B$5:$AJ$56,12,0)</f>
        <v>25</v>
      </c>
      <c r="C159" s="421">
        <v>10</v>
      </c>
      <c r="D159" s="41"/>
    </row>
    <row r="160" spans="1:5" x14ac:dyDescent="0.25">
      <c r="A160" s="421" t="s">
        <v>534</v>
      </c>
      <c r="B160" s="412">
        <f>VLOOKUP(B150,'BANG LUONG 1'!$B$5:$AJ$56,13,0)</f>
        <v>4051081.7307692305</v>
      </c>
      <c r="C160" s="421">
        <v>11</v>
      </c>
      <c r="D160" s="41"/>
    </row>
    <row r="161" spans="1:5" x14ac:dyDescent="0.25">
      <c r="A161" s="421" t="s">
        <v>592</v>
      </c>
      <c r="B161" s="412">
        <f>VLOOKUP(B150,'BANG LUONG 1'!$B$5:$AJ$56,14,0)</f>
        <v>1</v>
      </c>
      <c r="C161" s="421">
        <v>12</v>
      </c>
      <c r="D161" s="41">
        <f>B158/26*B161</f>
        <v>162043.26923076922</v>
      </c>
    </row>
    <row r="162" spans="1:5" x14ac:dyDescent="0.25">
      <c r="A162" s="421" t="s">
        <v>357</v>
      </c>
      <c r="B162" s="412">
        <f>VLOOKUP(B150,'BANG LUONG 1'!$B$5:$AJ$56,15,0)</f>
        <v>15</v>
      </c>
      <c r="C162" s="421">
        <v>13</v>
      </c>
      <c r="D162" s="41">
        <f>B158/26/8*1.5*B162</f>
        <v>455746.69471153838</v>
      </c>
    </row>
    <row r="163" spans="1:5" x14ac:dyDescent="0.25">
      <c r="A163" s="421" t="s">
        <v>387</v>
      </c>
      <c r="B163" s="412">
        <f>VLOOKUP(B150,'BANG LUONG 1'!$B$5:$AJ$56,16,0)</f>
        <v>16</v>
      </c>
      <c r="C163" s="421">
        <v>14</v>
      </c>
      <c r="D163" s="41">
        <f>B158/26/8*2*B163</f>
        <v>648173.07692307688</v>
      </c>
    </row>
    <row r="164" spans="1:5" x14ac:dyDescent="0.25">
      <c r="A164" s="421" t="s">
        <v>593</v>
      </c>
      <c r="B164" s="412">
        <f>VLOOKUP(B150,'BANG LUONG 1'!$B$5:$AJ$56,17,0)</f>
        <v>1</v>
      </c>
      <c r="C164" s="421"/>
      <c r="D164" s="41">
        <f>(B158/26)*B164</f>
        <v>162043.26923076922</v>
      </c>
    </row>
    <row r="165" spans="1:5" x14ac:dyDescent="0.25">
      <c r="A165" s="421" t="s">
        <v>388</v>
      </c>
      <c r="B165" s="412">
        <f>VLOOKUP(B150,'BANG LUONG 1'!$B$5:$AJ$56,18,0)</f>
        <v>0</v>
      </c>
      <c r="C165" s="421">
        <v>15</v>
      </c>
      <c r="D165" s="41">
        <f>(B158/26*B165)*3</f>
        <v>0</v>
      </c>
    </row>
    <row r="166" spans="1:5" x14ac:dyDescent="0.25">
      <c r="A166" s="421" t="s">
        <v>533</v>
      </c>
      <c r="B166" s="412">
        <f>VLOOKUP(B150,'BANG LUONG 1'!$B$5:$AJ$56,19,0)</f>
        <v>5479088.040865384</v>
      </c>
      <c r="C166" s="183">
        <v>16</v>
      </c>
      <c r="D166" s="185">
        <f>B160+D162+D163+D161+D165+D164</f>
        <v>5479088.040865384</v>
      </c>
      <c r="E166" s="108"/>
    </row>
    <row r="167" spans="1:5" x14ac:dyDescent="0.25">
      <c r="A167" s="421" t="s">
        <v>535</v>
      </c>
      <c r="B167" s="412">
        <f>VLOOKUP(B150,'BANG LUONG 1'!$B$5:$AJ$56,20,0)</f>
        <v>8256621.1538461559</v>
      </c>
      <c r="C167" s="421">
        <v>17</v>
      </c>
      <c r="D167" s="41"/>
    </row>
    <row r="168" spans="1:5" x14ac:dyDescent="0.25">
      <c r="A168" s="421" t="s">
        <v>370</v>
      </c>
      <c r="B168" s="412">
        <f>VLOOKUP(B150,'BANG LUONG 1'!$B$5:$AJ$56,22,0)</f>
        <v>0</v>
      </c>
      <c r="C168" s="421">
        <v>18</v>
      </c>
      <c r="D168" s="41"/>
    </row>
    <row r="169" spans="1:5" x14ac:dyDescent="0.25">
      <c r="A169" s="421" t="s">
        <v>371</v>
      </c>
      <c r="B169" s="412">
        <f>VLOOKUP(B150,'BANG LUONG 1'!$B$5:$AJ$56,23,0)</f>
        <v>300000</v>
      </c>
      <c r="C169" s="421">
        <v>19</v>
      </c>
      <c r="D169" s="41"/>
    </row>
    <row r="170" spans="1:5" x14ac:dyDescent="0.25">
      <c r="A170" s="421" t="s">
        <v>560</v>
      </c>
      <c r="B170" s="412">
        <f>VLOOKUP(B150,'BANG LUONG 1'!$B$5:$AJ$56,24,0)</f>
        <v>0</v>
      </c>
      <c r="C170" s="421">
        <v>22</v>
      </c>
      <c r="D170" s="41"/>
    </row>
    <row r="171" spans="1:5" x14ac:dyDescent="0.25">
      <c r="A171" s="183" t="s">
        <v>237</v>
      </c>
      <c r="B171" s="415">
        <f>VLOOKUP(B150,'BANG LUONG 1'!$B$5:$AJ$56,26,0)</f>
        <v>14035709.19471154</v>
      </c>
      <c r="C171" s="421">
        <v>24</v>
      </c>
      <c r="D171" s="41"/>
    </row>
    <row r="172" spans="1:5" x14ac:dyDescent="0.25">
      <c r="A172" s="421" t="s">
        <v>545</v>
      </c>
      <c r="B172" s="412">
        <f>VLOOKUP(B150,'BANG LUONG 1'!$B$5:$AJ$56,27,0)</f>
        <v>4000000</v>
      </c>
      <c r="C172" s="421">
        <v>25</v>
      </c>
      <c r="D172" s="41"/>
    </row>
    <row r="173" spans="1:5" x14ac:dyDescent="0.25">
      <c r="A173" s="421" t="s">
        <v>544</v>
      </c>
      <c r="B173" s="412">
        <f>VLOOKUP(B150,'BANG LUONG 1'!$B$5:$AJ$56,28,0)</f>
        <v>480585</v>
      </c>
      <c r="C173" s="421">
        <v>26</v>
      </c>
      <c r="D173" s="41"/>
    </row>
    <row r="174" spans="1:5" x14ac:dyDescent="0.25">
      <c r="A174" s="421" t="s">
        <v>712</v>
      </c>
      <c r="B174" s="415">
        <f>VLOOKUP(B150,'BANG LUONG 1'!$B$5:$AJ$56,32,0)</f>
        <v>0</v>
      </c>
      <c r="C174" s="421"/>
      <c r="D174" s="41"/>
    </row>
    <row r="175" spans="1:5" x14ac:dyDescent="0.25">
      <c r="A175" s="421" t="s">
        <v>713</v>
      </c>
      <c r="B175" s="415">
        <f>VLOOKUP(B150,'BANG LUONG 1'!$B$5:$AJ$56,33,0)</f>
        <v>110000</v>
      </c>
      <c r="C175" s="421"/>
      <c r="D175" s="41"/>
    </row>
    <row r="176" spans="1:5" x14ac:dyDescent="0.25">
      <c r="A176" s="183" t="s">
        <v>707</v>
      </c>
      <c r="B176" s="415">
        <f>VLOOKUP(B150,'BANG LUONG 1'!$B$5:$AJ$56,30,0)</f>
        <v>100000</v>
      </c>
      <c r="C176" s="421"/>
      <c r="D176" s="41"/>
      <c r="E176" s="108" t="str">
        <f>B151</f>
        <v>Nguyễn Bình Luận</v>
      </c>
    </row>
    <row r="177" spans="1:4" x14ac:dyDescent="0.25">
      <c r="A177" s="183" t="s">
        <v>546</v>
      </c>
      <c r="B177" s="415">
        <f>VLOOKUP(B150,'BANG LUONG 1'!$B$5:$AJ$56,35,0)</f>
        <v>9765000</v>
      </c>
      <c r="C177" s="421"/>
      <c r="D177" s="41"/>
    </row>
    <row r="178" spans="1:4" x14ac:dyDescent="0.25">
      <c r="A178" s="184" t="s">
        <v>549</v>
      </c>
      <c r="B178" s="424">
        <f>'BANG LUONG 1'!$P$3</f>
        <v>43733</v>
      </c>
    </row>
    <row r="179" spans="1:4" x14ac:dyDescent="0.25">
      <c r="A179" s="183" t="s">
        <v>1</v>
      </c>
      <c r="B179" s="185" t="s">
        <v>128</v>
      </c>
      <c r="C179" s="421">
        <v>1</v>
      </c>
      <c r="D179" s="41"/>
    </row>
    <row r="180" spans="1:4" x14ac:dyDescent="0.25">
      <c r="A180" s="183" t="s">
        <v>2</v>
      </c>
      <c r="B180" s="185" t="str">
        <f>VLOOKUP($B179,'BANG LUONG 1'!$B$6:$AB$51,C180,0)</f>
        <v>Nguyễn Thế Lực</v>
      </c>
      <c r="C180" s="421">
        <v>2</v>
      </c>
      <c r="D180" s="41"/>
    </row>
    <row r="181" spans="1:4" x14ac:dyDescent="0.25">
      <c r="A181" s="421" t="s">
        <v>3</v>
      </c>
      <c r="B181" s="41" t="str">
        <f>VLOOKUP($B179,'BANG LUONG 1'!$B$6:$AJ$51,C181,0)</f>
        <v xml:space="preserve">Công nhân </v>
      </c>
      <c r="C181" s="421">
        <v>3</v>
      </c>
      <c r="D181" s="41"/>
    </row>
    <row r="182" spans="1:4" x14ac:dyDescent="0.25">
      <c r="A182" s="421" t="s">
        <v>376</v>
      </c>
      <c r="B182" s="410">
        <f>VLOOKUP($B179,'BANG LUONG 1'!$B$5:$AJ$56,4,0)</f>
        <v>42522</v>
      </c>
      <c r="C182" s="421">
        <v>4</v>
      </c>
      <c r="D182" s="41"/>
    </row>
    <row r="183" spans="1:4" x14ac:dyDescent="0.25">
      <c r="A183" s="421" t="s">
        <v>698</v>
      </c>
      <c r="B183" s="411">
        <f>VLOOKUP(B179,'BANG LUONG 1'!$B$5:$AJ$56,6,0)</f>
        <v>0.03</v>
      </c>
      <c r="C183" s="421">
        <v>5</v>
      </c>
      <c r="D183" s="41"/>
    </row>
    <row r="184" spans="1:4" x14ac:dyDescent="0.25">
      <c r="A184" s="421" t="s">
        <v>229</v>
      </c>
      <c r="B184" s="412">
        <f>'thang luong moi'!$F$5</f>
        <v>4012500</v>
      </c>
      <c r="C184" s="421">
        <v>6</v>
      </c>
      <c r="D184" s="41"/>
    </row>
    <row r="185" spans="1:4" x14ac:dyDescent="0.25">
      <c r="A185" s="421" t="s">
        <v>217</v>
      </c>
      <c r="B185" s="412" t="str">
        <f>VLOOKUP(B179,'BANG LUONG 1'!$B$5:$AJ$56,8,0)</f>
        <v>B.05</v>
      </c>
      <c r="C185" s="421">
        <v>7</v>
      </c>
      <c r="D185" s="41"/>
    </row>
    <row r="186" spans="1:4" x14ac:dyDescent="0.25">
      <c r="A186" s="421" t="s">
        <v>230</v>
      </c>
      <c r="B186" s="412">
        <f>VLOOKUP(B179,'BANG LUONG 1'!$B$5:$AJ$56,9,0)</f>
        <v>1</v>
      </c>
      <c r="C186" s="421">
        <v>8</v>
      </c>
      <c r="D186" s="41"/>
    </row>
    <row r="187" spans="1:4" x14ac:dyDescent="0.25">
      <c r="A187" s="421" t="s">
        <v>538</v>
      </c>
      <c r="B187" s="412">
        <f>VLOOKUP(B179,'BANG LUONG 1'!$B$5:$AJ$56,11,0)</f>
        <v>4213125</v>
      </c>
      <c r="C187" s="421">
        <v>9</v>
      </c>
      <c r="D187" s="41"/>
    </row>
    <row r="188" spans="1:4" x14ac:dyDescent="0.25">
      <c r="A188" s="421" t="s">
        <v>354</v>
      </c>
      <c r="B188" s="412">
        <f>VLOOKUP(B179,'BANG LUONG 1'!$B$5:$AJ$56,12,0)</f>
        <v>24.5</v>
      </c>
      <c r="C188" s="421">
        <v>10</v>
      </c>
      <c r="D188" s="41"/>
    </row>
    <row r="189" spans="1:4" x14ac:dyDescent="0.25">
      <c r="A189" s="421" t="s">
        <v>534</v>
      </c>
      <c r="B189" s="412">
        <f>VLOOKUP(B179,'BANG LUONG 1'!$B$5:$AJ$56,13,0)</f>
        <v>3970060.096153846</v>
      </c>
      <c r="C189" s="421">
        <v>11</v>
      </c>
      <c r="D189" s="41"/>
    </row>
    <row r="190" spans="1:4" x14ac:dyDescent="0.25">
      <c r="A190" s="421" t="s">
        <v>592</v>
      </c>
      <c r="B190" s="412">
        <f>VLOOKUP(B179,'BANG LUONG 1'!$B$5:$AJ$56,14,0)</f>
        <v>1</v>
      </c>
      <c r="C190" s="421">
        <v>12</v>
      </c>
      <c r="D190" s="41">
        <f>B187/26*B190</f>
        <v>162043.26923076922</v>
      </c>
    </row>
    <row r="191" spans="1:4" x14ac:dyDescent="0.25">
      <c r="A191" s="421" t="s">
        <v>357</v>
      </c>
      <c r="B191" s="412">
        <f>VLOOKUP(B179,'BANG LUONG 1'!$B$5:$AJ$56,15,0)</f>
        <v>18</v>
      </c>
      <c r="C191" s="421">
        <v>13</v>
      </c>
      <c r="D191" s="41">
        <f>B187/26/8*1.5*B191</f>
        <v>546896.03365384613</v>
      </c>
    </row>
    <row r="192" spans="1:4" x14ac:dyDescent="0.25">
      <c r="A192" s="421" t="s">
        <v>387</v>
      </c>
      <c r="B192" s="412">
        <f>VLOOKUP(B179,'BANG LUONG 1'!$B$5:$AJ$56,16,0)</f>
        <v>8</v>
      </c>
      <c r="C192" s="421">
        <v>14</v>
      </c>
      <c r="D192" s="41">
        <f>B187/26/8*2*B192</f>
        <v>324086.53846153844</v>
      </c>
    </row>
    <row r="193" spans="1:5" x14ac:dyDescent="0.25">
      <c r="A193" s="421" t="s">
        <v>593</v>
      </c>
      <c r="B193" s="412">
        <f>VLOOKUP(B179,'BANG LUONG 1'!$B$5:$AJ$56,17,0)</f>
        <v>1</v>
      </c>
      <c r="C193" s="421"/>
      <c r="D193" s="41">
        <f>(B187/26)*B193</f>
        <v>162043.26923076922</v>
      </c>
    </row>
    <row r="194" spans="1:5" x14ac:dyDescent="0.25">
      <c r="A194" s="421" t="s">
        <v>388</v>
      </c>
      <c r="B194" s="412">
        <f>VLOOKUP(B179,'BANG LUONG 1'!$B$5:$AJ$56,18,0)</f>
        <v>0</v>
      </c>
      <c r="C194" s="421">
        <v>15</v>
      </c>
      <c r="D194" s="41">
        <f>(B187/26*B194)*3</f>
        <v>0</v>
      </c>
    </row>
    <row r="195" spans="1:5" x14ac:dyDescent="0.25">
      <c r="A195" s="421" t="s">
        <v>533</v>
      </c>
      <c r="B195" s="412">
        <f>VLOOKUP(B179,'BANG LUONG 1'!$B$5:$AJ$56,19,0)</f>
        <v>5165129.2067307681</v>
      </c>
      <c r="C195" s="183">
        <v>16</v>
      </c>
      <c r="D195" s="185">
        <f>B189+D191+D192+D190+D194+D193</f>
        <v>5165129.2067307681</v>
      </c>
      <c r="E195" s="108"/>
    </row>
    <row r="196" spans="1:5" x14ac:dyDescent="0.25">
      <c r="A196" s="421" t="s">
        <v>535</v>
      </c>
      <c r="B196" s="412">
        <f>VLOOKUP(B179,'BANG LUONG 1'!$B$5:$AJ$56,20,0)</f>
        <v>7307474.5192307699</v>
      </c>
      <c r="C196" s="421">
        <v>17</v>
      </c>
      <c r="D196" s="41"/>
    </row>
    <row r="197" spans="1:5" x14ac:dyDescent="0.25">
      <c r="A197" s="421" t="s">
        <v>370</v>
      </c>
      <c r="B197" s="412">
        <f>VLOOKUP(B179,'BANG LUONG 1'!$B$5:$AJ$56,22,0)</f>
        <v>126393.75</v>
      </c>
      <c r="C197" s="421">
        <v>18</v>
      </c>
      <c r="D197" s="41"/>
    </row>
    <row r="198" spans="1:5" x14ac:dyDescent="0.25">
      <c r="A198" s="421" t="s">
        <v>371</v>
      </c>
      <c r="B198" s="412">
        <f>VLOOKUP(B179,'BANG LUONG 1'!$B$5:$AJ$56,23,0)</f>
        <v>300000</v>
      </c>
      <c r="C198" s="421">
        <v>19</v>
      </c>
      <c r="D198" s="41"/>
    </row>
    <row r="199" spans="1:5" x14ac:dyDescent="0.25">
      <c r="A199" s="421" t="s">
        <v>560</v>
      </c>
      <c r="B199" s="412">
        <f>VLOOKUP(B179,'BANG LUONG 1'!$B$5:$AJ$56,24,0)</f>
        <v>0</v>
      </c>
      <c r="C199" s="421">
        <v>22</v>
      </c>
      <c r="D199" s="41"/>
    </row>
    <row r="200" spans="1:5" x14ac:dyDescent="0.25">
      <c r="A200" s="183" t="s">
        <v>237</v>
      </c>
      <c r="B200" s="415">
        <f>VLOOKUP(B179,'BANG LUONG 1'!$B$5:$AJ$56,26,0)</f>
        <v>12898997.475961538</v>
      </c>
      <c r="C200" s="421">
        <v>24</v>
      </c>
      <c r="D200" s="41"/>
    </row>
    <row r="201" spans="1:5" x14ac:dyDescent="0.25">
      <c r="A201" s="421" t="s">
        <v>545</v>
      </c>
      <c r="B201" s="412">
        <f>VLOOKUP(B179,'BANG LUONG 1'!$B$5:$AJ$56,27,0)</f>
        <v>4000000</v>
      </c>
      <c r="C201" s="421">
        <v>25</v>
      </c>
      <c r="D201" s="41"/>
    </row>
    <row r="202" spans="1:5" x14ac:dyDescent="0.25">
      <c r="A202" s="421" t="s">
        <v>544</v>
      </c>
      <c r="B202" s="412">
        <f>VLOOKUP(B179,'BANG LUONG 1'!$B$5:$AJ$56,28,0)</f>
        <v>480585</v>
      </c>
      <c r="C202" s="421">
        <v>26</v>
      </c>
      <c r="D202" s="41"/>
    </row>
    <row r="203" spans="1:5" x14ac:dyDescent="0.25">
      <c r="A203" s="421" t="s">
        <v>712</v>
      </c>
      <c r="B203" s="415">
        <f>VLOOKUP(B179,'BANG LUONG 1'!$B$5:$AJ$56,32,0)</f>
        <v>0</v>
      </c>
      <c r="C203" s="421"/>
      <c r="D203" s="41"/>
    </row>
    <row r="204" spans="1:5" x14ac:dyDescent="0.25">
      <c r="A204" s="421" t="s">
        <v>713</v>
      </c>
      <c r="B204" s="415">
        <f>VLOOKUP(B179,'BANG LUONG 1'!$B$5:$AJ$56,33,0)</f>
        <v>132000</v>
      </c>
      <c r="C204" s="421"/>
      <c r="D204" s="41"/>
    </row>
    <row r="205" spans="1:5" x14ac:dyDescent="0.25">
      <c r="A205" s="183" t="s">
        <v>707</v>
      </c>
      <c r="B205" s="415">
        <f>VLOOKUP(B179,'BANG LUONG 1'!$B$5:$AJ$56,30,0)</f>
        <v>100000</v>
      </c>
      <c r="C205" s="421"/>
      <c r="D205" s="41"/>
      <c r="E205" s="108" t="str">
        <f>B180</f>
        <v>Nguyễn Thế Lực</v>
      </c>
    </row>
    <row r="206" spans="1:5" x14ac:dyDescent="0.25">
      <c r="A206" s="183" t="s">
        <v>546</v>
      </c>
      <c r="B206" s="415">
        <f>VLOOKUP(B179,'BANG LUONG 1'!$B$5:$AJ$56,35,0)</f>
        <v>8650000</v>
      </c>
      <c r="C206" s="421"/>
      <c r="D206" s="41"/>
    </row>
    <row r="207" spans="1:5" x14ac:dyDescent="0.25">
      <c r="A207" s="184" t="s">
        <v>549</v>
      </c>
      <c r="B207" s="424">
        <f>'BANG LUONG 1'!$P$3</f>
        <v>43733</v>
      </c>
    </row>
    <row r="208" spans="1:5" x14ac:dyDescent="0.25">
      <c r="A208" s="183" t="s">
        <v>1</v>
      </c>
      <c r="B208" s="185" t="s">
        <v>129</v>
      </c>
      <c r="C208" s="421">
        <v>1</v>
      </c>
      <c r="D208" s="41"/>
    </row>
    <row r="209" spans="1:5" x14ac:dyDescent="0.25">
      <c r="A209" s="183" t="s">
        <v>2</v>
      </c>
      <c r="B209" s="185" t="str">
        <f>VLOOKUP($B208,'BANG LUONG 1'!$B$6:$AB$51,C209,0)</f>
        <v>Nguyễn Thành Vân</v>
      </c>
      <c r="C209" s="421">
        <v>2</v>
      </c>
      <c r="D209" s="41"/>
    </row>
    <row r="210" spans="1:5" x14ac:dyDescent="0.25">
      <c r="A210" s="421" t="s">
        <v>3</v>
      </c>
      <c r="B210" s="41" t="str">
        <f>VLOOKUP($B208,'BANG LUONG 1'!$B$6:$AJ$51,C210,0)</f>
        <v xml:space="preserve">Công nhân </v>
      </c>
      <c r="C210" s="421">
        <v>3</v>
      </c>
      <c r="D210" s="41"/>
    </row>
    <row r="211" spans="1:5" x14ac:dyDescent="0.25">
      <c r="A211" s="421" t="s">
        <v>376</v>
      </c>
      <c r="B211" s="410">
        <f>VLOOKUP($B208,'BANG LUONG 1'!$B$5:$AJ$56,4,0)</f>
        <v>42415</v>
      </c>
      <c r="C211" s="421">
        <v>4</v>
      </c>
      <c r="D211" s="41"/>
    </row>
    <row r="212" spans="1:5" x14ac:dyDescent="0.25">
      <c r="A212" s="421" t="s">
        <v>698</v>
      </c>
      <c r="B212" s="411">
        <f>VLOOKUP(B208,'BANG LUONG 1'!$B$5:$AJ$56,6,0)</f>
        <v>0.03</v>
      </c>
      <c r="C212" s="421">
        <v>5</v>
      </c>
      <c r="D212" s="41"/>
    </row>
    <row r="213" spans="1:5" x14ac:dyDescent="0.25">
      <c r="A213" s="421" t="s">
        <v>229</v>
      </c>
      <c r="B213" s="412">
        <f>'thang luong moi'!$F$5</f>
        <v>4012500</v>
      </c>
      <c r="C213" s="421">
        <v>6</v>
      </c>
      <c r="D213" s="41"/>
    </row>
    <row r="214" spans="1:5" x14ac:dyDescent="0.25">
      <c r="A214" s="421" t="s">
        <v>217</v>
      </c>
      <c r="B214" s="412" t="str">
        <f>VLOOKUP(B208,'BANG LUONG 1'!$B$5:$AJ$56,8,0)</f>
        <v>B.05</v>
      </c>
      <c r="C214" s="421">
        <v>7</v>
      </c>
      <c r="D214" s="41"/>
    </row>
    <row r="215" spans="1:5" x14ac:dyDescent="0.25">
      <c r="A215" s="421" t="s">
        <v>230</v>
      </c>
      <c r="B215" s="412">
        <f>VLOOKUP(B208,'BANG LUONG 1'!$B$5:$AJ$56,9,0)</f>
        <v>1</v>
      </c>
      <c r="C215" s="421">
        <v>8</v>
      </c>
      <c r="D215" s="41"/>
    </row>
    <row r="216" spans="1:5" x14ac:dyDescent="0.25">
      <c r="A216" s="421" t="s">
        <v>538</v>
      </c>
      <c r="B216" s="412">
        <f>VLOOKUP(B208,'BANG LUONG 1'!$B$5:$AJ$56,11,0)</f>
        <v>4213125</v>
      </c>
      <c r="C216" s="421">
        <v>9</v>
      </c>
      <c r="D216" s="41"/>
    </row>
    <row r="217" spans="1:5" x14ac:dyDescent="0.25">
      <c r="A217" s="421" t="s">
        <v>354</v>
      </c>
      <c r="B217" s="412">
        <f>VLOOKUP(B208,'BANG LUONG 1'!$B$5:$AJ$56,12,0)</f>
        <v>26</v>
      </c>
      <c r="C217" s="421">
        <v>10</v>
      </c>
      <c r="D217" s="41"/>
    </row>
    <row r="218" spans="1:5" x14ac:dyDescent="0.25">
      <c r="A218" s="421" t="s">
        <v>534</v>
      </c>
      <c r="B218" s="412">
        <f>VLOOKUP(B208,'BANG LUONG 1'!$B$5:$AJ$56,13,0)</f>
        <v>4213125</v>
      </c>
      <c r="C218" s="421">
        <v>11</v>
      </c>
      <c r="D218" s="41"/>
    </row>
    <row r="219" spans="1:5" x14ac:dyDescent="0.25">
      <c r="A219" s="421" t="s">
        <v>592</v>
      </c>
      <c r="B219" s="412">
        <f>VLOOKUP(B208,'BANG LUONG 1'!$B$5:$AJ$56,14,0)</f>
        <v>0</v>
      </c>
      <c r="C219" s="421">
        <v>12</v>
      </c>
      <c r="D219" s="41">
        <f>B216/26*B219</f>
        <v>0</v>
      </c>
    </row>
    <row r="220" spans="1:5" x14ac:dyDescent="0.25">
      <c r="A220" s="421" t="s">
        <v>357</v>
      </c>
      <c r="B220" s="412">
        <f>VLOOKUP(B208,'BANG LUONG 1'!$B$5:$AJ$56,15,0)</f>
        <v>21</v>
      </c>
      <c r="C220" s="421">
        <v>13</v>
      </c>
      <c r="D220" s="41">
        <f>B216/26/8*1.5*B220</f>
        <v>638045.37259615376</v>
      </c>
    </row>
    <row r="221" spans="1:5" x14ac:dyDescent="0.25">
      <c r="A221" s="421" t="s">
        <v>387</v>
      </c>
      <c r="B221" s="412">
        <f>VLOOKUP(B208,'BANG LUONG 1'!$B$5:$AJ$56,16,0)</f>
        <v>8</v>
      </c>
      <c r="C221" s="421">
        <v>14</v>
      </c>
      <c r="D221" s="41">
        <f>B216/26/8*2*B221</f>
        <v>324086.53846153844</v>
      </c>
    </row>
    <row r="222" spans="1:5" x14ac:dyDescent="0.25">
      <c r="A222" s="421" t="s">
        <v>593</v>
      </c>
      <c r="B222" s="412">
        <f>VLOOKUP(B208,'BANG LUONG 1'!$B$5:$AJ$56,17,0)</f>
        <v>1</v>
      </c>
      <c r="C222" s="421"/>
      <c r="D222" s="41">
        <f>(B216/26)*B222</f>
        <v>162043.26923076922</v>
      </c>
    </row>
    <row r="223" spans="1:5" x14ac:dyDescent="0.25">
      <c r="A223" s="421" t="s">
        <v>388</v>
      </c>
      <c r="B223" s="412">
        <f>VLOOKUP(B208,'BANG LUONG 1'!$B$5:$AJ$56,18,0)</f>
        <v>0</v>
      </c>
      <c r="C223" s="421">
        <v>15</v>
      </c>
      <c r="D223" s="41">
        <f>(B216/26*B223)*3</f>
        <v>0</v>
      </c>
    </row>
    <row r="224" spans="1:5" x14ac:dyDescent="0.25">
      <c r="A224" s="421" t="s">
        <v>533</v>
      </c>
      <c r="B224" s="412">
        <f>VLOOKUP(B208,'BANG LUONG 1'!$B$5:$AJ$56,19,0)</f>
        <v>5337300.180288461</v>
      </c>
      <c r="C224" s="183">
        <v>16</v>
      </c>
      <c r="D224" s="185">
        <f>B218+D220+D221+D219+D223+D222</f>
        <v>5337300.180288461</v>
      </c>
      <c r="E224" s="108"/>
    </row>
    <row r="225" spans="1:5" x14ac:dyDescent="0.25">
      <c r="A225" s="421" t="s">
        <v>535</v>
      </c>
      <c r="B225" s="412">
        <f>VLOOKUP(B208,'BANG LUONG 1'!$B$5:$AJ$56,20,0)</f>
        <v>8593444.551282052</v>
      </c>
      <c r="C225" s="421">
        <v>17</v>
      </c>
      <c r="D225" s="41"/>
    </row>
    <row r="226" spans="1:5" x14ac:dyDescent="0.25">
      <c r="A226" s="421" t="s">
        <v>370</v>
      </c>
      <c r="B226" s="412">
        <f>VLOOKUP(B208,'BANG LUONG 1'!$B$5:$AJ$56,22,0)</f>
        <v>126393.75</v>
      </c>
      <c r="C226" s="421">
        <v>18</v>
      </c>
      <c r="D226" s="41"/>
    </row>
    <row r="227" spans="1:5" x14ac:dyDescent="0.25">
      <c r="A227" s="421" t="s">
        <v>371</v>
      </c>
      <c r="B227" s="412">
        <f>VLOOKUP(B208,'BANG LUONG 1'!$B$5:$AJ$56,23,0)</f>
        <v>300000</v>
      </c>
      <c r="C227" s="421">
        <v>19</v>
      </c>
      <c r="D227" s="41"/>
    </row>
    <row r="228" spans="1:5" x14ac:dyDescent="0.25">
      <c r="A228" s="421" t="s">
        <v>560</v>
      </c>
      <c r="B228" s="412">
        <f>VLOOKUP(B208,'BANG LUONG 1'!$B$5:$AJ$56,24,0)</f>
        <v>0</v>
      </c>
      <c r="C228" s="421">
        <v>22</v>
      </c>
      <c r="D228" s="41"/>
    </row>
    <row r="229" spans="1:5" x14ac:dyDescent="0.25">
      <c r="A229" s="183" t="s">
        <v>237</v>
      </c>
      <c r="B229" s="415">
        <f>VLOOKUP(B208,'BANG LUONG 1'!$B$5:$AJ$56,26,0)</f>
        <v>14357138.481570512</v>
      </c>
      <c r="C229" s="421">
        <v>24</v>
      </c>
      <c r="D229" s="41"/>
    </row>
    <row r="230" spans="1:5" x14ac:dyDescent="0.25">
      <c r="A230" s="421" t="s">
        <v>545</v>
      </c>
      <c r="B230" s="412">
        <f>VLOOKUP(B208,'BANG LUONG 1'!$B$5:$AJ$56,27,0)</f>
        <v>0</v>
      </c>
      <c r="C230" s="421">
        <v>25</v>
      </c>
      <c r="D230" s="41"/>
    </row>
    <row r="231" spans="1:5" x14ac:dyDescent="0.25">
      <c r="A231" s="421" t="s">
        <v>544</v>
      </c>
      <c r="B231" s="412">
        <f>VLOOKUP(B208,'BANG LUONG 1'!$B$5:$AJ$56,28,0)</f>
        <v>480585</v>
      </c>
      <c r="C231" s="421">
        <v>26</v>
      </c>
      <c r="D231" s="41"/>
    </row>
    <row r="232" spans="1:5" x14ac:dyDescent="0.25">
      <c r="A232" s="421" t="s">
        <v>712</v>
      </c>
      <c r="B232" s="415">
        <f>VLOOKUP(B208,'BANG LUONG 1'!$B$5:$AJ$56,32,0)</f>
        <v>0</v>
      </c>
      <c r="C232" s="421"/>
      <c r="D232" s="41"/>
    </row>
    <row r="233" spans="1:5" x14ac:dyDescent="0.25">
      <c r="A233" s="421" t="s">
        <v>713</v>
      </c>
      <c r="B233" s="415">
        <f>VLOOKUP(B208,'BANG LUONG 1'!$B$5:$AJ$56,33,0)</f>
        <v>154000</v>
      </c>
      <c r="C233" s="421"/>
      <c r="D233" s="41"/>
    </row>
    <row r="234" spans="1:5" x14ac:dyDescent="0.25">
      <c r="A234" s="183" t="s">
        <v>707</v>
      </c>
      <c r="B234" s="415">
        <f>VLOOKUP(B208,'BANG LUONG 1'!$B$5:$AJ$56,30,0)</f>
        <v>100000</v>
      </c>
      <c r="C234" s="421"/>
      <c r="D234" s="41"/>
      <c r="E234" s="108" t="str">
        <f>B209</f>
        <v>Nguyễn Thành Vân</v>
      </c>
    </row>
    <row r="235" spans="1:5" x14ac:dyDescent="0.25">
      <c r="A235" s="183" t="s">
        <v>546</v>
      </c>
      <c r="B235" s="415">
        <f>VLOOKUP(B208,'BANG LUONG 1'!$B$5:$AJ$56,35,0)</f>
        <v>14131000</v>
      </c>
      <c r="C235" s="421"/>
      <c r="D235" s="41"/>
    </row>
    <row r="236" spans="1:5" x14ac:dyDescent="0.25">
      <c r="A236" s="184" t="s">
        <v>549</v>
      </c>
      <c r="B236" s="424">
        <f>'BANG LUONG 1'!$P$3</f>
        <v>43733</v>
      </c>
    </row>
    <row r="237" spans="1:5" x14ac:dyDescent="0.25">
      <c r="A237" s="183" t="s">
        <v>1</v>
      </c>
      <c r="B237" s="185" t="s">
        <v>130</v>
      </c>
      <c r="C237" s="421">
        <v>1</v>
      </c>
      <c r="D237" s="41"/>
    </row>
    <row r="238" spans="1:5" x14ac:dyDescent="0.25">
      <c r="A238" s="183" t="s">
        <v>2</v>
      </c>
      <c r="B238" s="185" t="str">
        <f>VLOOKUP($B237,'BANG LUONG 1'!$B$6:$AB$51,C238,0)</f>
        <v>Triệu Minh Tú</v>
      </c>
      <c r="C238" s="421">
        <v>2</v>
      </c>
      <c r="D238" s="41"/>
    </row>
    <row r="239" spans="1:5" x14ac:dyDescent="0.25">
      <c r="A239" s="421" t="s">
        <v>3</v>
      </c>
      <c r="B239" s="41" t="str">
        <f>VLOOKUP($B237,'BANG LUONG 1'!$B$6:$AJ$51,C239,0)</f>
        <v>Lái xe cơ giới</v>
      </c>
      <c r="C239" s="421">
        <v>3</v>
      </c>
      <c r="D239" s="41"/>
    </row>
    <row r="240" spans="1:5" x14ac:dyDescent="0.25">
      <c r="A240" s="421" t="s">
        <v>376</v>
      </c>
      <c r="B240" s="410">
        <f>VLOOKUP($B237,'BANG LUONG 1'!$B$5:$AJ$56,4,0)</f>
        <v>37622</v>
      </c>
      <c r="C240" s="421">
        <v>4</v>
      </c>
      <c r="D240" s="41"/>
    </row>
    <row r="241" spans="1:5" x14ac:dyDescent="0.25">
      <c r="A241" s="421" t="s">
        <v>698</v>
      </c>
      <c r="B241" s="411">
        <f>VLOOKUP(B237,'BANG LUONG 1'!$B$5:$AJ$56,6,0)</f>
        <v>0.16</v>
      </c>
      <c r="C241" s="421">
        <v>5</v>
      </c>
      <c r="D241" s="41"/>
    </row>
    <row r="242" spans="1:5" x14ac:dyDescent="0.25">
      <c r="A242" s="421" t="s">
        <v>229</v>
      </c>
      <c r="B242" s="412">
        <f>'thang luong moi'!$F$5</f>
        <v>4012500</v>
      </c>
      <c r="C242" s="421">
        <v>6</v>
      </c>
      <c r="D242" s="41"/>
    </row>
    <row r="243" spans="1:5" x14ac:dyDescent="0.25">
      <c r="A243" s="421" t="s">
        <v>217</v>
      </c>
      <c r="B243" s="412" t="str">
        <f>VLOOKUP(B237,'BANG LUONG 1'!$B$5:$AJ$56,8,0)</f>
        <v>B.02</v>
      </c>
      <c r="C243" s="421">
        <v>7</v>
      </c>
      <c r="D243" s="41"/>
    </row>
    <row r="244" spans="1:5" x14ac:dyDescent="0.25">
      <c r="A244" s="421" t="s">
        <v>230</v>
      </c>
      <c r="B244" s="412">
        <f>VLOOKUP(B237,'BANG LUONG 1'!$B$5:$AJ$56,9,0)</f>
        <v>2</v>
      </c>
      <c r="C244" s="421">
        <v>8</v>
      </c>
      <c r="D244" s="41"/>
    </row>
    <row r="245" spans="1:5" x14ac:dyDescent="0.25">
      <c r="A245" s="421" t="s">
        <v>538</v>
      </c>
      <c r="B245" s="412">
        <f>VLOOKUP(B237,'BANG LUONG 1'!$B$5:$AJ$56,11,0)</f>
        <v>4694625.0000000009</v>
      </c>
      <c r="C245" s="421">
        <v>9</v>
      </c>
      <c r="D245" s="41"/>
    </row>
    <row r="246" spans="1:5" x14ac:dyDescent="0.25">
      <c r="A246" s="421" t="s">
        <v>354</v>
      </c>
      <c r="B246" s="412">
        <f>VLOOKUP(B237,'BANG LUONG 1'!$B$5:$AJ$56,12,0)</f>
        <v>29.850000000000012</v>
      </c>
      <c r="C246" s="421">
        <v>10</v>
      </c>
      <c r="D246" s="41"/>
    </row>
    <row r="247" spans="1:5" x14ac:dyDescent="0.25">
      <c r="A247" s="421" t="s">
        <v>534</v>
      </c>
      <c r="B247" s="412">
        <f>VLOOKUP(B237,'BANG LUONG 1'!$B$5:$AJ$56,13,0)</f>
        <v>5389790.6250000028</v>
      </c>
      <c r="C247" s="421">
        <v>11</v>
      </c>
      <c r="D247" s="41"/>
    </row>
    <row r="248" spans="1:5" x14ac:dyDescent="0.25">
      <c r="A248" s="421" t="s">
        <v>592</v>
      </c>
      <c r="B248" s="412">
        <f>VLOOKUP(B237,'BANG LUONG 1'!$B$5:$AJ$56,14,0)</f>
        <v>0</v>
      </c>
      <c r="C248" s="421">
        <v>12</v>
      </c>
      <c r="D248" s="41">
        <f>B245/26*B248</f>
        <v>0</v>
      </c>
    </row>
    <row r="249" spans="1:5" x14ac:dyDescent="0.25">
      <c r="A249" s="421" t="s">
        <v>357</v>
      </c>
      <c r="B249" s="412">
        <f>VLOOKUP(B237,'BANG LUONG 1'!$B$5:$AJ$56,15,0)</f>
        <v>30</v>
      </c>
      <c r="C249" s="421">
        <v>13</v>
      </c>
      <c r="D249" s="41">
        <f>B245/26/8*1.5*B249</f>
        <v>1015664.0625000002</v>
      </c>
    </row>
    <row r="250" spans="1:5" x14ac:dyDescent="0.25">
      <c r="A250" s="421" t="s">
        <v>387</v>
      </c>
      <c r="B250" s="412">
        <f>VLOOKUP(B237,'BANG LUONG 1'!$B$5:$AJ$56,16,0)</f>
        <v>6</v>
      </c>
      <c r="C250" s="421">
        <v>14</v>
      </c>
      <c r="D250" s="41">
        <f>B245/26/8*2*B250</f>
        <v>270843.75000000006</v>
      </c>
    </row>
    <row r="251" spans="1:5" x14ac:dyDescent="0.25">
      <c r="A251" s="421" t="s">
        <v>593</v>
      </c>
      <c r="B251" s="412">
        <f>VLOOKUP(B237,'BANG LUONG 1'!$B$5:$AJ$56,17,0)</f>
        <v>1</v>
      </c>
      <c r="C251" s="421"/>
      <c r="D251" s="41">
        <f>(B245/26)*B251</f>
        <v>180562.50000000003</v>
      </c>
    </row>
    <row r="252" spans="1:5" x14ac:dyDescent="0.25">
      <c r="A252" s="421" t="s">
        <v>388</v>
      </c>
      <c r="B252" s="412">
        <f>VLOOKUP(B237,'BANG LUONG 1'!$B$5:$AJ$56,18,0)</f>
        <v>0</v>
      </c>
      <c r="C252" s="421">
        <v>15</v>
      </c>
      <c r="D252" s="41">
        <f>(B245/26*B252)*3</f>
        <v>0</v>
      </c>
    </row>
    <row r="253" spans="1:5" x14ac:dyDescent="0.25">
      <c r="A253" s="421" t="s">
        <v>533</v>
      </c>
      <c r="B253" s="412">
        <f>VLOOKUP(B237,'BANG LUONG 1'!$B$5:$AJ$56,19,0)</f>
        <v>6856860.9375000028</v>
      </c>
      <c r="C253" s="183">
        <v>16</v>
      </c>
      <c r="D253" s="185">
        <f>B247+D249+D250+D248+D252+D251</f>
        <v>6856860.9375000028</v>
      </c>
      <c r="E253" s="108"/>
    </row>
    <row r="254" spans="1:5" x14ac:dyDescent="0.25">
      <c r="A254" s="421" t="s">
        <v>535</v>
      </c>
      <c r="B254" s="412">
        <f>VLOOKUP(B237,'BANG LUONG 1'!$B$5:$AJ$56,20,0)</f>
        <v>381539.83025902323</v>
      </c>
      <c r="C254" s="421">
        <v>17</v>
      </c>
      <c r="D254" s="41"/>
    </row>
    <row r="255" spans="1:5" x14ac:dyDescent="0.25">
      <c r="A255" s="421" t="s">
        <v>370</v>
      </c>
      <c r="B255" s="412">
        <f>VLOOKUP(B237,'BANG LUONG 1'!$B$5:$AJ$56,22,0)</f>
        <v>751140.00000000012</v>
      </c>
      <c r="C255" s="421">
        <v>18</v>
      </c>
      <c r="D255" s="41"/>
    </row>
    <row r="256" spans="1:5" x14ac:dyDescent="0.25">
      <c r="A256" s="421" t="s">
        <v>371</v>
      </c>
      <c r="B256" s="412">
        <f>VLOOKUP(B237,'BANG LUONG 1'!$B$5:$AJ$56,23,0)</f>
        <v>300000</v>
      </c>
      <c r="C256" s="421">
        <v>19</v>
      </c>
      <c r="D256" s="41"/>
    </row>
    <row r="257" spans="1:5" x14ac:dyDescent="0.25">
      <c r="A257" s="421" t="s">
        <v>560</v>
      </c>
      <c r="B257" s="412">
        <f>VLOOKUP(B237,'BANG LUONG 1'!$B$5:$AJ$56,24,0)</f>
        <v>0</v>
      </c>
      <c r="C257" s="421">
        <v>22</v>
      </c>
      <c r="D257" s="41"/>
    </row>
    <row r="258" spans="1:5" x14ac:dyDescent="0.25">
      <c r="A258" s="183" t="s">
        <v>237</v>
      </c>
      <c r="B258" s="415">
        <f>VLOOKUP(B237,'BANG LUONG 1'!$B$5:$AJ$56,26,0)</f>
        <v>8289540.767759026</v>
      </c>
      <c r="C258" s="421">
        <v>24</v>
      </c>
      <c r="D258" s="41"/>
    </row>
    <row r="259" spans="1:5" x14ac:dyDescent="0.25">
      <c r="A259" s="421" t="s">
        <v>545</v>
      </c>
      <c r="B259" s="412">
        <f>VLOOKUP(B237,'BANG LUONG 1'!$B$5:$AJ$56,27,0)</f>
        <v>4000000</v>
      </c>
      <c r="C259" s="421">
        <v>25</v>
      </c>
      <c r="D259" s="41"/>
    </row>
    <row r="260" spans="1:5" x14ac:dyDescent="0.25">
      <c r="A260" s="421" t="s">
        <v>544</v>
      </c>
      <c r="B260" s="412">
        <f>VLOOKUP(B237,'BANG LUONG 1'!$B$5:$AJ$56,28,0)</f>
        <v>480585</v>
      </c>
      <c r="C260" s="421">
        <v>26</v>
      </c>
      <c r="D260" s="41"/>
    </row>
    <row r="261" spans="1:5" x14ac:dyDescent="0.25">
      <c r="A261" s="421" t="s">
        <v>712</v>
      </c>
      <c r="B261" s="415">
        <f>VLOOKUP(B237,'BANG LUONG 1'!$B$5:$AJ$56,32,0)</f>
        <v>360000</v>
      </c>
      <c r="C261" s="421"/>
      <c r="D261" s="41"/>
    </row>
    <row r="262" spans="1:5" x14ac:dyDescent="0.25">
      <c r="A262" s="421" t="s">
        <v>713</v>
      </c>
      <c r="B262" s="415">
        <f>VLOOKUP(B237,'BANG LUONG 1'!$B$5:$AJ$56,33,0)</f>
        <v>22000</v>
      </c>
      <c r="C262" s="421"/>
      <c r="D262" s="41"/>
    </row>
    <row r="263" spans="1:5" x14ac:dyDescent="0.25">
      <c r="A263" s="183" t="s">
        <v>707</v>
      </c>
      <c r="B263" s="415">
        <f>VLOOKUP(B237,'BANG LUONG 1'!$B$5:$AJ$56,30,0)</f>
        <v>100000</v>
      </c>
      <c r="C263" s="421"/>
      <c r="D263" s="41"/>
      <c r="E263" s="108" t="str">
        <f>B238</f>
        <v>Triệu Minh Tú</v>
      </c>
    </row>
    <row r="264" spans="1:5" x14ac:dyDescent="0.25">
      <c r="A264" s="183" t="s">
        <v>546</v>
      </c>
      <c r="B264" s="415">
        <f>VLOOKUP(B237,'BANG LUONG 1'!$B$5:$AJ$56,35,0)</f>
        <v>4291000</v>
      </c>
      <c r="C264" s="421"/>
      <c r="D264" s="41"/>
    </row>
    <row r="265" spans="1:5" x14ac:dyDescent="0.25">
      <c r="A265" s="184" t="s">
        <v>549</v>
      </c>
      <c r="B265" s="424">
        <f>'BANG LUONG 1'!$P$3</f>
        <v>43733</v>
      </c>
    </row>
    <row r="266" spans="1:5" x14ac:dyDescent="0.25">
      <c r="A266" s="183" t="s">
        <v>1</v>
      </c>
      <c r="B266" s="185" t="s">
        <v>131</v>
      </c>
      <c r="C266" s="421">
        <v>1</v>
      </c>
      <c r="D266" s="41"/>
    </row>
    <row r="267" spans="1:5" x14ac:dyDescent="0.25">
      <c r="A267" s="183" t="s">
        <v>2</v>
      </c>
      <c r="B267" s="185" t="str">
        <f>VLOOKUP($B266,'BANG LUONG 1'!$B$6:$AB$51,C267,0)</f>
        <v>Nguyễn Văn Chạy</v>
      </c>
      <c r="C267" s="421">
        <v>2</v>
      </c>
      <c r="D267" s="41"/>
    </row>
    <row r="268" spans="1:5" x14ac:dyDescent="0.25">
      <c r="A268" s="421" t="s">
        <v>3</v>
      </c>
      <c r="B268" s="41" t="str">
        <f>VLOOKUP($B266,'BANG LUONG 1'!$B$6:$AJ$51,C268,0)</f>
        <v>Lái xe cơ giới</v>
      </c>
      <c r="C268" s="421">
        <v>3</v>
      </c>
      <c r="D268" s="41"/>
    </row>
    <row r="269" spans="1:5" x14ac:dyDescent="0.25">
      <c r="A269" s="421" t="s">
        <v>376</v>
      </c>
      <c r="B269" s="410">
        <f>VLOOKUP($B266,'BANG LUONG 1'!$B$5:$AJ$56,4,0)</f>
        <v>41786</v>
      </c>
      <c r="C269" s="421">
        <v>4</v>
      </c>
      <c r="D269" s="41"/>
    </row>
    <row r="270" spans="1:5" x14ac:dyDescent="0.25">
      <c r="A270" s="421" t="s">
        <v>698</v>
      </c>
      <c r="B270" s="411">
        <f>VLOOKUP(B266,'BANG LUONG 1'!$B$5:$AJ$56,6,0)</f>
        <v>0.05</v>
      </c>
      <c r="C270" s="421">
        <v>5</v>
      </c>
      <c r="D270" s="41"/>
    </row>
    <row r="271" spans="1:5" x14ac:dyDescent="0.25">
      <c r="A271" s="421" t="s">
        <v>229</v>
      </c>
      <c r="B271" s="412">
        <f>'thang luong moi'!$F$5</f>
        <v>4012500</v>
      </c>
      <c r="C271" s="421">
        <v>6</v>
      </c>
      <c r="D271" s="41"/>
    </row>
    <row r="272" spans="1:5" x14ac:dyDescent="0.25">
      <c r="A272" s="421" t="s">
        <v>217</v>
      </c>
      <c r="B272" s="412" t="str">
        <f>VLOOKUP(B266,'BANG LUONG 1'!$B$5:$AJ$56,8,0)</f>
        <v>B.02</v>
      </c>
      <c r="C272" s="421">
        <v>7</v>
      </c>
      <c r="D272" s="41"/>
    </row>
    <row r="273" spans="1:5" x14ac:dyDescent="0.25">
      <c r="A273" s="421" t="s">
        <v>230</v>
      </c>
      <c r="B273" s="412">
        <f>VLOOKUP(B266,'BANG LUONG 1'!$B$5:$AJ$56,9,0)</f>
        <v>1</v>
      </c>
      <c r="C273" s="421">
        <v>8</v>
      </c>
      <c r="D273" s="41"/>
    </row>
    <row r="274" spans="1:5" x14ac:dyDescent="0.25">
      <c r="A274" s="421" t="s">
        <v>538</v>
      </c>
      <c r="B274" s="412">
        <f>VLOOKUP(B266,'BANG LUONG 1'!$B$5:$AJ$56,11,0)</f>
        <v>4413750</v>
      </c>
      <c r="C274" s="421">
        <v>9</v>
      </c>
      <c r="D274" s="41"/>
    </row>
    <row r="275" spans="1:5" x14ac:dyDescent="0.25">
      <c r="A275" s="421" t="s">
        <v>354</v>
      </c>
      <c r="B275" s="412">
        <f>VLOOKUP(B266,'BANG LUONG 1'!$B$5:$AJ$56,12,0)</f>
        <v>22</v>
      </c>
      <c r="C275" s="421">
        <v>10</v>
      </c>
      <c r="D275" s="41"/>
    </row>
    <row r="276" spans="1:5" x14ac:dyDescent="0.25">
      <c r="A276" s="421" t="s">
        <v>534</v>
      </c>
      <c r="B276" s="412">
        <f>VLOOKUP(B266,'BANG LUONG 1'!$B$5:$AJ$56,13,0)</f>
        <v>3734711.538461538</v>
      </c>
      <c r="C276" s="421">
        <v>11</v>
      </c>
      <c r="D276" s="41"/>
    </row>
    <row r="277" spans="1:5" x14ac:dyDescent="0.25">
      <c r="A277" s="421" t="s">
        <v>592</v>
      </c>
      <c r="B277" s="412">
        <f>VLOOKUP(B266,'BANG LUONG 1'!$B$5:$AJ$56,14,0)</f>
        <v>4</v>
      </c>
      <c r="C277" s="421">
        <v>12</v>
      </c>
      <c r="D277" s="41">
        <f>B274/26*B277</f>
        <v>679038.4615384615</v>
      </c>
    </row>
    <row r="278" spans="1:5" x14ac:dyDescent="0.25">
      <c r="A278" s="421" t="s">
        <v>357</v>
      </c>
      <c r="B278" s="412">
        <f>VLOOKUP(B266,'BANG LUONG 1'!$B$5:$AJ$56,15,0)</f>
        <v>25</v>
      </c>
      <c r="C278" s="421">
        <v>13</v>
      </c>
      <c r="D278" s="41">
        <f>B274/26/8*1.5*B278</f>
        <v>795748.19711538462</v>
      </c>
    </row>
    <row r="279" spans="1:5" x14ac:dyDescent="0.25">
      <c r="A279" s="421" t="s">
        <v>387</v>
      </c>
      <c r="B279" s="412">
        <f>VLOOKUP(B266,'BANG LUONG 1'!$B$5:$AJ$56,16,0)</f>
        <v>16</v>
      </c>
      <c r="C279" s="421">
        <v>14</v>
      </c>
      <c r="D279" s="41">
        <f>B274/26/8*2*B279</f>
        <v>679038.4615384615</v>
      </c>
    </row>
    <row r="280" spans="1:5" x14ac:dyDescent="0.25">
      <c r="A280" s="421" t="s">
        <v>593</v>
      </c>
      <c r="B280" s="412">
        <f>VLOOKUP(B266,'BANG LUONG 1'!$B$5:$AJ$56,17,0)</f>
        <v>1</v>
      </c>
      <c r="C280" s="421"/>
      <c r="D280" s="41">
        <f>(B274/26)*B280</f>
        <v>169759.61538461538</v>
      </c>
    </row>
    <row r="281" spans="1:5" x14ac:dyDescent="0.25">
      <c r="A281" s="421" t="s">
        <v>388</v>
      </c>
      <c r="B281" s="412">
        <f>VLOOKUP(B266,'BANG LUONG 1'!$B$5:$AJ$56,18,0)</f>
        <v>0</v>
      </c>
      <c r="C281" s="421">
        <v>15</v>
      </c>
      <c r="D281" s="41">
        <f>(B274/26*B281)*3</f>
        <v>0</v>
      </c>
    </row>
    <row r="282" spans="1:5" x14ac:dyDescent="0.25">
      <c r="A282" s="421" t="s">
        <v>533</v>
      </c>
      <c r="B282" s="412">
        <f>VLOOKUP(B266,'BANG LUONG 1'!$B$5:$AJ$56,19,0)</f>
        <v>6058296.274038461</v>
      </c>
      <c r="C282" s="183">
        <v>16</v>
      </c>
      <c r="D282" s="185">
        <f>B276+D278+D279+D277+D281+D280</f>
        <v>6058296.274038461</v>
      </c>
      <c r="E282" s="108"/>
    </row>
    <row r="283" spans="1:5" x14ac:dyDescent="0.25">
      <c r="A283" s="421" t="s">
        <v>535</v>
      </c>
      <c r="B283" s="412">
        <f>VLOOKUP(B266,'BANG LUONG 1'!$B$5:$AJ$56,20,0)</f>
        <v>3892516.0910518067</v>
      </c>
      <c r="C283" s="421">
        <v>17</v>
      </c>
      <c r="D283" s="41"/>
    </row>
    <row r="284" spans="1:5" x14ac:dyDescent="0.25">
      <c r="A284" s="421" t="s">
        <v>370</v>
      </c>
      <c r="B284" s="412">
        <f>VLOOKUP(B266,'BANG LUONG 1'!$B$5:$AJ$56,22,0)</f>
        <v>220687.5</v>
      </c>
      <c r="C284" s="421">
        <v>18</v>
      </c>
      <c r="D284" s="41"/>
    </row>
    <row r="285" spans="1:5" x14ac:dyDescent="0.25">
      <c r="A285" s="421" t="s">
        <v>371</v>
      </c>
      <c r="B285" s="412">
        <f>VLOOKUP(B266,'BANG LUONG 1'!$B$5:$AJ$56,23,0)</f>
        <v>75000</v>
      </c>
      <c r="C285" s="421">
        <v>19</v>
      </c>
      <c r="D285" s="41"/>
    </row>
    <row r="286" spans="1:5" x14ac:dyDescent="0.25">
      <c r="A286" s="421" t="s">
        <v>560</v>
      </c>
      <c r="B286" s="412">
        <f>VLOOKUP(B266,'BANG LUONG 1'!$B$5:$AJ$56,24,0)</f>
        <v>0</v>
      </c>
      <c r="C286" s="421">
        <v>22</v>
      </c>
      <c r="D286" s="41"/>
    </row>
    <row r="287" spans="1:5" x14ac:dyDescent="0.25">
      <c r="A287" s="183" t="s">
        <v>237</v>
      </c>
      <c r="B287" s="415">
        <f>VLOOKUP(B266,'BANG LUONG 1'!$B$5:$AJ$56,26,0)</f>
        <v>10246499.865090268</v>
      </c>
      <c r="C287" s="421">
        <v>24</v>
      </c>
      <c r="D287" s="41"/>
    </row>
    <row r="288" spans="1:5" x14ac:dyDescent="0.25">
      <c r="A288" s="421" t="s">
        <v>545</v>
      </c>
      <c r="B288" s="412">
        <f>VLOOKUP(B266,'BANG LUONG 1'!$B$5:$AJ$56,27,0)</f>
        <v>3000000</v>
      </c>
      <c r="C288" s="421">
        <v>25</v>
      </c>
      <c r="D288" s="41"/>
    </row>
    <row r="289" spans="1:5" x14ac:dyDescent="0.25">
      <c r="A289" s="421" t="s">
        <v>544</v>
      </c>
      <c r="B289" s="412">
        <f>VLOOKUP(B266,'BANG LUONG 1'!$B$5:$AJ$56,28,0)</f>
        <v>480585</v>
      </c>
      <c r="C289" s="421">
        <v>26</v>
      </c>
      <c r="D289" s="41"/>
    </row>
    <row r="290" spans="1:5" x14ac:dyDescent="0.25">
      <c r="A290" s="421" t="s">
        <v>712</v>
      </c>
      <c r="B290" s="415">
        <f>VLOOKUP(B266,'BANG LUONG 1'!$B$5:$AJ$56,32,0)</f>
        <v>0</v>
      </c>
      <c r="C290" s="421"/>
      <c r="D290" s="41"/>
    </row>
    <row r="291" spans="1:5" x14ac:dyDescent="0.25">
      <c r="A291" s="421" t="s">
        <v>713</v>
      </c>
      <c r="B291" s="415">
        <f>VLOOKUP(B266,'BANG LUONG 1'!$B$5:$AJ$56,33,0)</f>
        <v>154000</v>
      </c>
      <c r="C291" s="421"/>
      <c r="D291" s="41"/>
    </row>
    <row r="292" spans="1:5" x14ac:dyDescent="0.25">
      <c r="A292" s="183" t="s">
        <v>707</v>
      </c>
      <c r="B292" s="415">
        <f>VLOOKUP(B266,'BANG LUONG 1'!$B$5:$AJ$56,30,0)</f>
        <v>100000</v>
      </c>
      <c r="C292" s="421"/>
      <c r="D292" s="41"/>
      <c r="E292" s="108" t="str">
        <f>B267</f>
        <v>Nguyễn Văn Chạy</v>
      </c>
    </row>
    <row r="293" spans="1:5" x14ac:dyDescent="0.25">
      <c r="A293" s="183" t="s">
        <v>546</v>
      </c>
      <c r="B293" s="415">
        <f>VLOOKUP(B266,'BANG LUONG 1'!$B$5:$AJ$56,35,0)</f>
        <v>7020000</v>
      </c>
      <c r="C293" s="421"/>
      <c r="D293" s="41"/>
    </row>
    <row r="294" spans="1:5" x14ac:dyDescent="0.25">
      <c r="A294" s="184" t="s">
        <v>549</v>
      </c>
      <c r="B294" s="424">
        <f>'BANG LUONG 1'!$P$3</f>
        <v>43733</v>
      </c>
    </row>
    <row r="295" spans="1:5" x14ac:dyDescent="0.25">
      <c r="A295" s="183" t="s">
        <v>1</v>
      </c>
      <c r="B295" s="185" t="s">
        <v>132</v>
      </c>
      <c r="C295" s="421">
        <v>1</v>
      </c>
      <c r="D295" s="41"/>
    </row>
    <row r="296" spans="1:5" x14ac:dyDescent="0.25">
      <c r="A296" s="183" t="s">
        <v>2</v>
      </c>
      <c r="B296" s="185" t="str">
        <f>VLOOKUP($B295,'BANG LUONG 1'!$B$6:$AB$51,C296,0)</f>
        <v>Hà Hoàng Hùng</v>
      </c>
      <c r="C296" s="421">
        <v>2</v>
      </c>
      <c r="D296" s="41"/>
    </row>
    <row r="297" spans="1:5" x14ac:dyDescent="0.25">
      <c r="A297" s="421" t="s">
        <v>3</v>
      </c>
      <c r="B297" s="41" t="str">
        <f>VLOOKUP($B295,'BANG LUONG 1'!$B$6:$AJ$51,C297,0)</f>
        <v>Lái xe cơ giới</v>
      </c>
      <c r="C297" s="421">
        <v>3</v>
      </c>
      <c r="D297" s="41"/>
    </row>
    <row r="298" spans="1:5" x14ac:dyDescent="0.25">
      <c r="A298" s="421" t="s">
        <v>376</v>
      </c>
      <c r="B298" s="410">
        <f>VLOOKUP($B295,'BANG LUONG 1'!$B$5:$AJ$56,4,0)</f>
        <v>41876</v>
      </c>
      <c r="C298" s="421">
        <v>4</v>
      </c>
      <c r="D298" s="41"/>
    </row>
    <row r="299" spans="1:5" x14ac:dyDescent="0.25">
      <c r="A299" s="421" t="s">
        <v>698</v>
      </c>
      <c r="B299" s="411">
        <f>VLOOKUP(B295,'BANG LUONG 1'!$B$5:$AJ$56,6,0)</f>
        <v>0.05</v>
      </c>
      <c r="C299" s="421">
        <v>5</v>
      </c>
      <c r="D299" s="41"/>
    </row>
    <row r="300" spans="1:5" x14ac:dyDescent="0.25">
      <c r="A300" s="421" t="s">
        <v>229</v>
      </c>
      <c r="B300" s="412">
        <f>'thang luong moi'!$F$5</f>
        <v>4012500</v>
      </c>
      <c r="C300" s="421">
        <v>6</v>
      </c>
      <c r="D300" s="41"/>
    </row>
    <row r="301" spans="1:5" x14ac:dyDescent="0.25">
      <c r="A301" s="421" t="s">
        <v>217</v>
      </c>
      <c r="B301" s="412" t="str">
        <f>VLOOKUP(B295,'BANG LUONG 1'!$B$5:$AJ$56,8,0)</f>
        <v>B.02</v>
      </c>
      <c r="C301" s="421">
        <v>7</v>
      </c>
      <c r="D301" s="41"/>
    </row>
    <row r="302" spans="1:5" x14ac:dyDescent="0.25">
      <c r="A302" s="421" t="s">
        <v>230</v>
      </c>
      <c r="B302" s="412">
        <f>VLOOKUP(B295,'BANG LUONG 1'!$B$5:$AJ$56,9,0)</f>
        <v>1</v>
      </c>
      <c r="C302" s="421">
        <v>8</v>
      </c>
      <c r="D302" s="41"/>
    </row>
    <row r="303" spans="1:5" x14ac:dyDescent="0.25">
      <c r="A303" s="421" t="s">
        <v>538</v>
      </c>
      <c r="B303" s="412">
        <f>VLOOKUP(B295,'BANG LUONG 1'!$B$5:$AJ$56,11,0)</f>
        <v>4413750</v>
      </c>
      <c r="C303" s="421">
        <v>9</v>
      </c>
      <c r="D303" s="41"/>
    </row>
    <row r="304" spans="1:5" x14ac:dyDescent="0.25">
      <c r="A304" s="421" t="s">
        <v>354</v>
      </c>
      <c r="B304" s="412">
        <f>VLOOKUP(B295,'BANG LUONG 1'!$B$5:$AJ$56,12,0)</f>
        <v>24</v>
      </c>
      <c r="C304" s="421">
        <v>10</v>
      </c>
      <c r="D304" s="41"/>
    </row>
    <row r="305" spans="1:5" x14ac:dyDescent="0.25">
      <c r="A305" s="421" t="s">
        <v>534</v>
      </c>
      <c r="B305" s="412">
        <f>VLOOKUP(B295,'BANG LUONG 1'!$B$5:$AJ$56,13,0)</f>
        <v>4074230.769230769</v>
      </c>
      <c r="C305" s="421">
        <v>11</v>
      </c>
      <c r="D305" s="41"/>
    </row>
    <row r="306" spans="1:5" x14ac:dyDescent="0.25">
      <c r="A306" s="421" t="s">
        <v>592</v>
      </c>
      <c r="B306" s="412">
        <f>VLOOKUP(B295,'BANG LUONG 1'!$B$5:$AJ$56,14,0)</f>
        <v>2</v>
      </c>
      <c r="C306" s="421">
        <v>12</v>
      </c>
      <c r="D306" s="41">
        <f>B303/26*B306</f>
        <v>339519.23076923075</v>
      </c>
    </row>
    <row r="307" spans="1:5" x14ac:dyDescent="0.25">
      <c r="A307" s="421" t="s">
        <v>357</v>
      </c>
      <c r="B307" s="412">
        <f>VLOOKUP(B295,'BANG LUONG 1'!$B$5:$AJ$56,15,0)</f>
        <v>5.5</v>
      </c>
      <c r="C307" s="421">
        <v>13</v>
      </c>
      <c r="D307" s="41">
        <f>B303/26/8*1.5*B307</f>
        <v>175064.6033653846</v>
      </c>
    </row>
    <row r="308" spans="1:5" x14ac:dyDescent="0.25">
      <c r="A308" s="421" t="s">
        <v>387</v>
      </c>
      <c r="B308" s="412">
        <f>VLOOKUP(B295,'BANG LUONG 1'!$B$5:$AJ$56,16,0)</f>
        <v>0</v>
      </c>
      <c r="C308" s="421">
        <v>14</v>
      </c>
      <c r="D308" s="41">
        <f>B303/26/8*2*B308</f>
        <v>0</v>
      </c>
    </row>
    <row r="309" spans="1:5" x14ac:dyDescent="0.25">
      <c r="A309" s="421" t="s">
        <v>593</v>
      </c>
      <c r="B309" s="412">
        <f>VLOOKUP(B295,'BANG LUONG 1'!$B$5:$AJ$56,17,0)</f>
        <v>1</v>
      </c>
      <c r="C309" s="421"/>
      <c r="D309" s="41">
        <f>(B303/26)*B309</f>
        <v>169759.61538461538</v>
      </c>
    </row>
    <row r="310" spans="1:5" x14ac:dyDescent="0.25">
      <c r="A310" s="421" t="s">
        <v>388</v>
      </c>
      <c r="B310" s="412">
        <f>VLOOKUP(B295,'BANG LUONG 1'!$B$5:$AJ$56,18,0)</f>
        <v>0</v>
      </c>
      <c r="C310" s="421">
        <v>15</v>
      </c>
      <c r="D310" s="41">
        <f>(B303/26*B310)*3</f>
        <v>0</v>
      </c>
    </row>
    <row r="311" spans="1:5" x14ac:dyDescent="0.25">
      <c r="A311" s="421" t="s">
        <v>533</v>
      </c>
      <c r="B311" s="412">
        <f>VLOOKUP(B295,'BANG LUONG 1'!$B$5:$AJ$56,19,0)</f>
        <v>4758574.21875</v>
      </c>
      <c r="C311" s="183">
        <v>16</v>
      </c>
      <c r="D311" s="185">
        <f>B305+D307+D308+D306+D310+D309</f>
        <v>4758574.21875</v>
      </c>
      <c r="E311" s="108"/>
    </row>
    <row r="312" spans="1:5" x14ac:dyDescent="0.25">
      <c r="A312" s="421" t="s">
        <v>535</v>
      </c>
      <c r="B312" s="412">
        <f>VLOOKUP(B295,'BANG LUONG 1'!$B$5:$AJ$56,20,0)</f>
        <v>1850328.1004709583</v>
      </c>
      <c r="C312" s="421">
        <v>17</v>
      </c>
      <c r="D312" s="41"/>
    </row>
    <row r="313" spans="1:5" x14ac:dyDescent="0.25">
      <c r="A313" s="421" t="s">
        <v>370</v>
      </c>
      <c r="B313" s="412">
        <f>VLOOKUP(B295,'BANG LUONG 1'!$B$5:$AJ$56,22,0)</f>
        <v>220687.5</v>
      </c>
      <c r="C313" s="421">
        <v>18</v>
      </c>
      <c r="D313" s="41"/>
    </row>
    <row r="314" spans="1:5" x14ac:dyDescent="0.25">
      <c r="A314" s="421" t="s">
        <v>371</v>
      </c>
      <c r="B314" s="412">
        <f>VLOOKUP(B295,'BANG LUONG 1'!$B$5:$AJ$56,23,0)</f>
        <v>300000</v>
      </c>
      <c r="C314" s="421">
        <v>19</v>
      </c>
      <c r="D314" s="41"/>
    </row>
    <row r="315" spans="1:5" x14ac:dyDescent="0.25">
      <c r="A315" s="421" t="s">
        <v>560</v>
      </c>
      <c r="B315" s="412">
        <f>VLOOKUP(B295,'BANG LUONG 1'!$B$5:$AJ$56,24,0)</f>
        <v>0</v>
      </c>
      <c r="C315" s="421">
        <v>22</v>
      </c>
      <c r="D315" s="41"/>
    </row>
    <row r="316" spans="1:5" x14ac:dyDescent="0.25">
      <c r="A316" s="183" t="s">
        <v>237</v>
      </c>
      <c r="B316" s="415">
        <f>VLOOKUP(B295,'BANG LUONG 1'!$B$5:$AJ$56,26,0)</f>
        <v>7129589.8192209583</v>
      </c>
      <c r="C316" s="421">
        <v>24</v>
      </c>
      <c r="D316" s="41"/>
    </row>
    <row r="317" spans="1:5" x14ac:dyDescent="0.25">
      <c r="A317" s="421" t="s">
        <v>545</v>
      </c>
      <c r="B317" s="412">
        <f>VLOOKUP(B295,'BANG LUONG 1'!$B$5:$AJ$56,27,0)</f>
        <v>0</v>
      </c>
      <c r="C317" s="421">
        <v>25</v>
      </c>
      <c r="D317" s="41"/>
    </row>
    <row r="318" spans="1:5" x14ac:dyDescent="0.25">
      <c r="A318" s="421" t="s">
        <v>544</v>
      </c>
      <c r="B318" s="412">
        <f>VLOOKUP(B295,'BANG LUONG 1'!$B$5:$AJ$56,28,0)</f>
        <v>480585</v>
      </c>
      <c r="C318" s="421">
        <v>26</v>
      </c>
      <c r="D318" s="41"/>
    </row>
    <row r="319" spans="1:5" x14ac:dyDescent="0.25">
      <c r="A319" s="421" t="s">
        <v>712</v>
      </c>
      <c r="B319" s="415">
        <f>VLOOKUP(B295,'BANG LUONG 1'!$B$5:$AJ$56,32,0)</f>
        <v>0</v>
      </c>
      <c r="C319" s="421"/>
      <c r="D319" s="41"/>
    </row>
    <row r="320" spans="1:5" x14ac:dyDescent="0.25">
      <c r="A320" s="421" t="s">
        <v>713</v>
      </c>
      <c r="B320" s="415">
        <f>VLOOKUP(B295,'BANG LUONG 1'!$B$5:$AJ$56,33,0)</f>
        <v>22000</v>
      </c>
      <c r="C320" s="421"/>
      <c r="D320" s="41"/>
    </row>
    <row r="321" spans="1:5" x14ac:dyDescent="0.25">
      <c r="A321" s="183" t="s">
        <v>707</v>
      </c>
      <c r="B321" s="415">
        <f>VLOOKUP(B295,'BANG LUONG 1'!$B$5:$AJ$56,30,0)</f>
        <v>100000</v>
      </c>
      <c r="C321" s="421"/>
      <c r="D321" s="41"/>
      <c r="E321" s="108" t="str">
        <f>B296</f>
        <v>Hà Hoàng Hùng</v>
      </c>
    </row>
    <row r="322" spans="1:5" x14ac:dyDescent="0.25">
      <c r="A322" s="183" t="s">
        <v>546</v>
      </c>
      <c r="B322" s="415">
        <f>VLOOKUP(B295,'BANG LUONG 1'!$B$5:$AJ$56,35,0)</f>
        <v>6771000</v>
      </c>
      <c r="C322" s="421"/>
      <c r="D322" s="41"/>
    </row>
    <row r="323" spans="1:5" x14ac:dyDescent="0.25">
      <c r="A323" s="184" t="s">
        <v>549</v>
      </c>
      <c r="B323" s="424">
        <f>'BANG LUONG 1'!$P$3</f>
        <v>43733</v>
      </c>
    </row>
    <row r="324" spans="1:5" x14ac:dyDescent="0.25">
      <c r="A324" s="183" t="s">
        <v>1</v>
      </c>
      <c r="B324" s="185" t="s">
        <v>133</v>
      </c>
      <c r="C324" s="421">
        <v>1</v>
      </c>
      <c r="D324" s="41"/>
    </row>
    <row r="325" spans="1:5" x14ac:dyDescent="0.25">
      <c r="A325" s="183" t="s">
        <v>2</v>
      </c>
      <c r="B325" s="185" t="str">
        <f>VLOOKUP($B324,'BANG LUONG 1'!$B$6:$AB$51,C325,0)</f>
        <v>Châu Thành Nhân</v>
      </c>
      <c r="C325" s="421">
        <v>2</v>
      </c>
      <c r="D325" s="41"/>
    </row>
    <row r="326" spans="1:5" x14ac:dyDescent="0.25">
      <c r="A326" s="421" t="s">
        <v>3</v>
      </c>
      <c r="B326" s="41" t="str">
        <f>VLOOKUP($B324,'BANG LUONG 1'!$B$6:$AJ$51,C326,0)</f>
        <v>Lái xe cơ giới</v>
      </c>
      <c r="C326" s="421">
        <v>3</v>
      </c>
      <c r="D326" s="41"/>
    </row>
    <row r="327" spans="1:5" x14ac:dyDescent="0.25">
      <c r="A327" s="421" t="s">
        <v>376</v>
      </c>
      <c r="B327" s="410">
        <f>VLOOKUP($B324,'BANG LUONG 1'!$B$5:$AJ$56,4,0)</f>
        <v>41997</v>
      </c>
      <c r="C327" s="421">
        <v>4</v>
      </c>
      <c r="D327" s="41"/>
    </row>
    <row r="328" spans="1:5" x14ac:dyDescent="0.25">
      <c r="A328" s="421" t="s">
        <v>698</v>
      </c>
      <c r="B328" s="411">
        <f>VLOOKUP(B324,'BANG LUONG 1'!$B$5:$AJ$56,6,0)</f>
        <v>0.04</v>
      </c>
      <c r="C328" s="421">
        <v>5</v>
      </c>
      <c r="D328" s="41"/>
    </row>
    <row r="329" spans="1:5" x14ac:dyDescent="0.25">
      <c r="A329" s="421" t="s">
        <v>229</v>
      </c>
      <c r="B329" s="412">
        <f>'thang luong moi'!$F$5</f>
        <v>4012500</v>
      </c>
      <c r="C329" s="421">
        <v>6</v>
      </c>
      <c r="D329" s="41"/>
    </row>
    <row r="330" spans="1:5" x14ac:dyDescent="0.25">
      <c r="A330" s="421" t="s">
        <v>217</v>
      </c>
      <c r="B330" s="412" t="str">
        <f>VLOOKUP(B324,'BANG LUONG 1'!$B$5:$AJ$56,8,0)</f>
        <v>B.02</v>
      </c>
      <c r="C330" s="421">
        <v>7</v>
      </c>
      <c r="D330" s="41"/>
    </row>
    <row r="331" spans="1:5" x14ac:dyDescent="0.25">
      <c r="A331" s="421" t="s">
        <v>230</v>
      </c>
      <c r="B331" s="412">
        <f>VLOOKUP(B324,'BANG LUONG 1'!$B$5:$AJ$56,9,0)</f>
        <v>1</v>
      </c>
      <c r="C331" s="421">
        <v>8</v>
      </c>
      <c r="D331" s="41"/>
    </row>
    <row r="332" spans="1:5" x14ac:dyDescent="0.25">
      <c r="A332" s="421" t="s">
        <v>538</v>
      </c>
      <c r="B332" s="412">
        <f>VLOOKUP(B324,'BANG LUONG 1'!$B$5:$AJ$56,11,0)</f>
        <v>4413750</v>
      </c>
      <c r="C332" s="421">
        <v>9</v>
      </c>
      <c r="D332" s="41"/>
    </row>
    <row r="333" spans="1:5" x14ac:dyDescent="0.25">
      <c r="A333" s="421" t="s">
        <v>354</v>
      </c>
      <c r="B333" s="412">
        <f>VLOOKUP(B324,'BANG LUONG 1'!$B$5:$AJ$56,12,0)</f>
        <v>26</v>
      </c>
      <c r="C333" s="421">
        <v>10</v>
      </c>
      <c r="D333" s="41"/>
    </row>
    <row r="334" spans="1:5" x14ac:dyDescent="0.25">
      <c r="A334" s="421" t="s">
        <v>534</v>
      </c>
      <c r="B334" s="412">
        <f>VLOOKUP(B324,'BANG LUONG 1'!$B$5:$AJ$56,13,0)</f>
        <v>4413750</v>
      </c>
      <c r="C334" s="421">
        <v>11</v>
      </c>
      <c r="D334" s="41"/>
    </row>
    <row r="335" spans="1:5" x14ac:dyDescent="0.25">
      <c r="A335" s="421" t="s">
        <v>592</v>
      </c>
      <c r="B335" s="412">
        <f>VLOOKUP(B324,'BANG LUONG 1'!$B$5:$AJ$56,14,0)</f>
        <v>0</v>
      </c>
      <c r="C335" s="421">
        <v>12</v>
      </c>
      <c r="D335" s="41">
        <f>B332/26*B335</f>
        <v>0</v>
      </c>
    </row>
    <row r="336" spans="1:5" x14ac:dyDescent="0.25">
      <c r="A336" s="421" t="s">
        <v>357</v>
      </c>
      <c r="B336" s="412">
        <f>VLOOKUP(B324,'BANG LUONG 1'!$B$5:$AJ$56,15,0)</f>
        <v>80</v>
      </c>
      <c r="C336" s="421">
        <v>13</v>
      </c>
      <c r="D336" s="41">
        <f>B332/26/8*1.5*B336</f>
        <v>2546394.2307692305</v>
      </c>
    </row>
    <row r="337" spans="1:5" x14ac:dyDescent="0.25">
      <c r="A337" s="421" t="s">
        <v>387</v>
      </c>
      <c r="B337" s="412">
        <f>VLOOKUP(B324,'BANG LUONG 1'!$B$5:$AJ$56,16,0)</f>
        <v>16</v>
      </c>
      <c r="C337" s="421">
        <v>14</v>
      </c>
      <c r="D337" s="41">
        <f>B332/26/8*2*B337</f>
        <v>679038.4615384615</v>
      </c>
    </row>
    <row r="338" spans="1:5" x14ac:dyDescent="0.25">
      <c r="A338" s="421" t="s">
        <v>593</v>
      </c>
      <c r="B338" s="412">
        <f>VLOOKUP(B324,'BANG LUONG 1'!$B$5:$AJ$56,17,0)</f>
        <v>1</v>
      </c>
      <c r="C338" s="421"/>
      <c r="D338" s="41">
        <f>(B332/26)*B338</f>
        <v>169759.61538461538</v>
      </c>
    </row>
    <row r="339" spans="1:5" x14ac:dyDescent="0.25">
      <c r="A339" s="421" t="s">
        <v>388</v>
      </c>
      <c r="B339" s="412">
        <f>VLOOKUP(B324,'BANG LUONG 1'!$B$5:$AJ$56,18,0)</f>
        <v>0</v>
      </c>
      <c r="C339" s="421">
        <v>15</v>
      </c>
      <c r="D339" s="41">
        <f>(B332/26*B339)*3</f>
        <v>0</v>
      </c>
    </row>
    <row r="340" spans="1:5" x14ac:dyDescent="0.25">
      <c r="A340" s="421" t="s">
        <v>533</v>
      </c>
      <c r="B340" s="412">
        <f>VLOOKUP(B324,'BANG LUONG 1'!$B$5:$AJ$56,19,0)</f>
        <v>7808942.307692307</v>
      </c>
      <c r="C340" s="183">
        <v>16</v>
      </c>
      <c r="D340" s="185">
        <f>B334+D336+D337+D335+D339+D338</f>
        <v>7808942.307692307</v>
      </c>
      <c r="E340" s="108"/>
    </row>
    <row r="341" spans="1:5" x14ac:dyDescent="0.25">
      <c r="A341" s="421" t="s">
        <v>535</v>
      </c>
      <c r="B341" s="412">
        <f>VLOOKUP(B324,'BANG LUONG 1'!$B$5:$AJ$56,20,0)</f>
        <v>5635455.6514913682</v>
      </c>
      <c r="C341" s="421">
        <v>17</v>
      </c>
      <c r="D341" s="41"/>
    </row>
    <row r="342" spans="1:5" x14ac:dyDescent="0.25">
      <c r="A342" s="421" t="s">
        <v>370</v>
      </c>
      <c r="B342" s="412">
        <f>VLOOKUP(B324,'BANG LUONG 1'!$B$5:$AJ$56,22,0)</f>
        <v>176550</v>
      </c>
      <c r="C342" s="421">
        <v>18</v>
      </c>
      <c r="D342" s="41"/>
    </row>
    <row r="343" spans="1:5" x14ac:dyDescent="0.25">
      <c r="A343" s="421" t="s">
        <v>371</v>
      </c>
      <c r="B343" s="412">
        <f>VLOOKUP(B324,'BANG LUONG 1'!$B$5:$AJ$56,23,0)</f>
        <v>300000</v>
      </c>
      <c r="C343" s="421">
        <v>19</v>
      </c>
      <c r="D343" s="41"/>
    </row>
    <row r="344" spans="1:5" x14ac:dyDescent="0.25">
      <c r="A344" s="421" t="s">
        <v>560</v>
      </c>
      <c r="B344" s="412">
        <f>VLOOKUP(B324,'BANG LUONG 1'!$B$5:$AJ$56,24,0)</f>
        <v>0</v>
      </c>
      <c r="C344" s="421">
        <v>22</v>
      </c>
      <c r="D344" s="41"/>
    </row>
    <row r="345" spans="1:5" x14ac:dyDescent="0.25">
      <c r="A345" s="183" t="s">
        <v>237</v>
      </c>
      <c r="B345" s="415">
        <f>VLOOKUP(B324,'BANG LUONG 1'!$B$5:$AJ$56,26,0)</f>
        <v>13920947.959183674</v>
      </c>
      <c r="C345" s="421">
        <v>24</v>
      </c>
      <c r="D345" s="41"/>
    </row>
    <row r="346" spans="1:5" x14ac:dyDescent="0.25">
      <c r="A346" s="421" t="s">
        <v>545</v>
      </c>
      <c r="B346" s="412">
        <f>VLOOKUP(B324,'BANG LUONG 1'!$B$5:$AJ$56,27,0)</f>
        <v>5000000</v>
      </c>
      <c r="C346" s="421">
        <v>25</v>
      </c>
      <c r="D346" s="41"/>
    </row>
    <row r="347" spans="1:5" x14ac:dyDescent="0.25">
      <c r="A347" s="421" t="s">
        <v>544</v>
      </c>
      <c r="B347" s="412">
        <f>VLOOKUP(B324,'BANG LUONG 1'!$B$5:$AJ$56,28,0)</f>
        <v>480585</v>
      </c>
      <c r="C347" s="421">
        <v>26</v>
      </c>
      <c r="D347" s="41"/>
    </row>
    <row r="348" spans="1:5" x14ac:dyDescent="0.25">
      <c r="A348" s="421" t="s">
        <v>712</v>
      </c>
      <c r="B348" s="415">
        <f>VLOOKUP(B324,'BANG LUONG 1'!$B$5:$AJ$56,32,0)</f>
        <v>0</v>
      </c>
      <c r="C348" s="421"/>
      <c r="D348" s="41"/>
    </row>
    <row r="349" spans="1:5" x14ac:dyDescent="0.25">
      <c r="A349" s="421" t="s">
        <v>713</v>
      </c>
      <c r="B349" s="415">
        <f>VLOOKUP(B324,'BANG LUONG 1'!$B$5:$AJ$56,33,0)</f>
        <v>396000</v>
      </c>
      <c r="C349" s="421"/>
      <c r="D349" s="41"/>
    </row>
    <row r="350" spans="1:5" x14ac:dyDescent="0.25">
      <c r="A350" s="183" t="s">
        <v>707</v>
      </c>
      <c r="B350" s="415">
        <f>VLOOKUP(B324,'BANG LUONG 1'!$B$5:$AJ$56,30,0)</f>
        <v>100000</v>
      </c>
      <c r="C350" s="421"/>
      <c r="D350" s="41"/>
      <c r="E350" s="108" t="str">
        <f>B325</f>
        <v>Châu Thành Nhân</v>
      </c>
    </row>
    <row r="351" spans="1:5" x14ac:dyDescent="0.25">
      <c r="A351" s="183" t="s">
        <v>546</v>
      </c>
      <c r="B351" s="415">
        <f>VLOOKUP(B324,'BANG LUONG 1'!$B$5:$AJ$56,35,0)</f>
        <v>8936000</v>
      </c>
      <c r="C351" s="421"/>
      <c r="D351" s="41"/>
    </row>
    <row r="352" spans="1:5" x14ac:dyDescent="0.25">
      <c r="A352" s="184" t="s">
        <v>549</v>
      </c>
      <c r="B352" s="424">
        <f>'BANG LUONG 1'!$P$3</f>
        <v>43733</v>
      </c>
    </row>
    <row r="353" spans="1:4" x14ac:dyDescent="0.25">
      <c r="A353" s="183" t="s">
        <v>1</v>
      </c>
      <c r="B353" s="185" t="s">
        <v>135</v>
      </c>
      <c r="C353" s="421">
        <v>1</v>
      </c>
      <c r="D353" s="41"/>
    </row>
    <row r="354" spans="1:4" x14ac:dyDescent="0.25">
      <c r="A354" s="183" t="s">
        <v>2</v>
      </c>
      <c r="B354" s="185" t="str">
        <f>VLOOKUP($B353,'BANG LUONG 1'!$B$6:$AB$51,C354,0)</f>
        <v>Châu Văn Phước</v>
      </c>
      <c r="C354" s="421">
        <v>2</v>
      </c>
      <c r="D354" s="41"/>
    </row>
    <row r="355" spans="1:4" x14ac:dyDescent="0.25">
      <c r="A355" s="421" t="s">
        <v>3</v>
      </c>
      <c r="B355" s="41" t="str">
        <f>VLOOKUP($B353,'BANG LUONG 1'!$B$6:$AJ$51,C355,0)</f>
        <v>Lái xe cơ giới</v>
      </c>
      <c r="C355" s="421">
        <v>3</v>
      </c>
      <c r="D355" s="41"/>
    </row>
    <row r="356" spans="1:4" x14ac:dyDescent="0.25">
      <c r="A356" s="421" t="s">
        <v>376</v>
      </c>
      <c r="B356" s="410">
        <f>VLOOKUP($B353,'BANG LUONG 1'!$B$5:$AJ$56,4,0)</f>
        <v>42371</v>
      </c>
      <c r="C356" s="421">
        <v>4</v>
      </c>
      <c r="D356" s="41"/>
    </row>
    <row r="357" spans="1:4" x14ac:dyDescent="0.25">
      <c r="A357" s="421" t="s">
        <v>698</v>
      </c>
      <c r="B357" s="411">
        <f>VLOOKUP(B353,'BANG LUONG 1'!$B$5:$AJ$56,6,0)</f>
        <v>0.03</v>
      </c>
      <c r="C357" s="421">
        <v>5</v>
      </c>
      <c r="D357" s="41"/>
    </row>
    <row r="358" spans="1:4" x14ac:dyDescent="0.25">
      <c r="A358" s="421" t="s">
        <v>229</v>
      </c>
      <c r="B358" s="412">
        <f>'thang luong moi'!$F$5</f>
        <v>4012500</v>
      </c>
      <c r="C358" s="421">
        <v>6</v>
      </c>
      <c r="D358" s="41"/>
    </row>
    <row r="359" spans="1:4" x14ac:dyDescent="0.25">
      <c r="A359" s="421" t="s">
        <v>217</v>
      </c>
      <c r="B359" s="412" t="str">
        <f>VLOOKUP(B353,'BANG LUONG 1'!$B$5:$AJ$56,8,0)</f>
        <v>B.02</v>
      </c>
      <c r="C359" s="421">
        <v>7</v>
      </c>
      <c r="D359" s="41"/>
    </row>
    <row r="360" spans="1:4" x14ac:dyDescent="0.25">
      <c r="A360" s="421" t="s">
        <v>230</v>
      </c>
      <c r="B360" s="412">
        <f>VLOOKUP(B353,'BANG LUONG 1'!$B$5:$AJ$56,9,0)</f>
        <v>1</v>
      </c>
      <c r="C360" s="421">
        <v>8</v>
      </c>
      <c r="D360" s="41"/>
    </row>
    <row r="361" spans="1:4" x14ac:dyDescent="0.25">
      <c r="A361" s="421" t="s">
        <v>538</v>
      </c>
      <c r="B361" s="412">
        <f>VLOOKUP(B353,'BANG LUONG 1'!$B$5:$AJ$56,11,0)</f>
        <v>4413750</v>
      </c>
      <c r="C361" s="421">
        <v>9</v>
      </c>
      <c r="D361" s="41"/>
    </row>
    <row r="362" spans="1:4" x14ac:dyDescent="0.25">
      <c r="A362" s="421" t="s">
        <v>354</v>
      </c>
      <c r="B362" s="412">
        <f>VLOOKUP(B353,'BANG LUONG 1'!$B$5:$AJ$56,12,0)</f>
        <v>26</v>
      </c>
      <c r="C362" s="421">
        <v>10</v>
      </c>
      <c r="D362" s="41"/>
    </row>
    <row r="363" spans="1:4" x14ac:dyDescent="0.25">
      <c r="A363" s="421" t="s">
        <v>534</v>
      </c>
      <c r="B363" s="412">
        <f>VLOOKUP(B353,'BANG LUONG 1'!$B$5:$AJ$56,13,0)</f>
        <v>4413750</v>
      </c>
      <c r="C363" s="421">
        <v>11</v>
      </c>
      <c r="D363" s="41"/>
    </row>
    <row r="364" spans="1:4" x14ac:dyDescent="0.25">
      <c r="A364" s="421" t="s">
        <v>592</v>
      </c>
      <c r="B364" s="412">
        <f>VLOOKUP(B353,'BANG LUONG 1'!$B$5:$AJ$56,14,0)</f>
        <v>0</v>
      </c>
      <c r="C364" s="421">
        <v>12</v>
      </c>
      <c r="D364" s="41">
        <f>B361/26*B364</f>
        <v>0</v>
      </c>
    </row>
    <row r="365" spans="1:4" x14ac:dyDescent="0.25">
      <c r="A365" s="421" t="s">
        <v>357</v>
      </c>
      <c r="B365" s="412">
        <f>VLOOKUP(B353,'BANG LUONG 1'!$B$5:$AJ$56,15,0)</f>
        <v>49</v>
      </c>
      <c r="C365" s="421">
        <v>13</v>
      </c>
      <c r="D365" s="41">
        <f>B361/26/8*1.5*B365</f>
        <v>1559666.4663461538</v>
      </c>
    </row>
    <row r="366" spans="1:4" x14ac:dyDescent="0.25">
      <c r="A366" s="421" t="s">
        <v>387</v>
      </c>
      <c r="B366" s="412">
        <f>VLOOKUP(B353,'BANG LUONG 1'!$B$5:$AJ$56,16,0)</f>
        <v>16</v>
      </c>
      <c r="C366" s="421">
        <v>14</v>
      </c>
      <c r="D366" s="41">
        <f>B361/26/8*2*B366</f>
        <v>679038.4615384615</v>
      </c>
    </row>
    <row r="367" spans="1:4" x14ac:dyDescent="0.25">
      <c r="A367" s="421" t="s">
        <v>593</v>
      </c>
      <c r="B367" s="412">
        <f>VLOOKUP(B353,'BANG LUONG 1'!$B$5:$AJ$56,17,0)</f>
        <v>1</v>
      </c>
      <c r="C367" s="421"/>
      <c r="D367" s="41">
        <f>(B361/26)*B367</f>
        <v>169759.61538461538</v>
      </c>
    </row>
    <row r="368" spans="1:4" x14ac:dyDescent="0.25">
      <c r="A368" s="421" t="s">
        <v>388</v>
      </c>
      <c r="B368" s="412">
        <f>VLOOKUP(B353,'BANG LUONG 1'!$B$5:$AJ$56,18,0)</f>
        <v>0</v>
      </c>
      <c r="C368" s="421">
        <v>15</v>
      </c>
      <c r="D368" s="41">
        <f>(B361/26*B368)*3</f>
        <v>0</v>
      </c>
    </row>
    <row r="369" spans="1:5" x14ac:dyDescent="0.25">
      <c r="A369" s="421" t="s">
        <v>533</v>
      </c>
      <c r="B369" s="412">
        <f>VLOOKUP(B353,'BANG LUONG 1'!$B$5:$AJ$56,19,0)</f>
        <v>6822214.543269231</v>
      </c>
      <c r="C369" s="183">
        <v>16</v>
      </c>
      <c r="D369" s="185">
        <f>B363+D365+D366+D364+D368+D367</f>
        <v>6822214.543269231</v>
      </c>
      <c r="E369" s="108"/>
    </row>
    <row r="370" spans="1:5" x14ac:dyDescent="0.25">
      <c r="A370" s="421" t="s">
        <v>535</v>
      </c>
      <c r="B370" s="412">
        <f>VLOOKUP(B353,'BANG LUONG 1'!$B$5:$AJ$56,20,0)</f>
        <v>3954142.8571428573</v>
      </c>
      <c r="C370" s="421">
        <v>17</v>
      </c>
      <c r="D370" s="41"/>
    </row>
    <row r="371" spans="1:5" x14ac:dyDescent="0.25">
      <c r="A371" s="421" t="s">
        <v>370</v>
      </c>
      <c r="B371" s="412">
        <f>VLOOKUP(B353,'BANG LUONG 1'!$B$5:$AJ$56,22,0)</f>
        <v>132412.5</v>
      </c>
      <c r="C371" s="421">
        <v>18</v>
      </c>
      <c r="D371" s="41"/>
    </row>
    <row r="372" spans="1:5" x14ac:dyDescent="0.25">
      <c r="A372" s="421" t="s">
        <v>371</v>
      </c>
      <c r="B372" s="412">
        <f>VLOOKUP(B353,'BANG LUONG 1'!$B$5:$AJ$56,23,0)</f>
        <v>300000</v>
      </c>
      <c r="C372" s="421">
        <v>19</v>
      </c>
      <c r="D372" s="41"/>
    </row>
    <row r="373" spans="1:5" x14ac:dyDescent="0.25">
      <c r="A373" s="421" t="s">
        <v>560</v>
      </c>
      <c r="B373" s="412">
        <f>VLOOKUP(B353,'BANG LUONG 1'!$B$5:$AJ$56,24,0)</f>
        <v>0</v>
      </c>
      <c r="C373" s="421">
        <v>22</v>
      </c>
      <c r="D373" s="41"/>
    </row>
    <row r="374" spans="1:5" x14ac:dyDescent="0.25">
      <c r="A374" s="183" t="s">
        <v>237</v>
      </c>
      <c r="B374" s="415">
        <f>VLOOKUP(B353,'BANG LUONG 1'!$B$5:$AJ$56,26,0)</f>
        <v>11208769.900412088</v>
      </c>
      <c r="C374" s="421">
        <v>24</v>
      </c>
      <c r="D374" s="41"/>
    </row>
    <row r="375" spans="1:5" x14ac:dyDescent="0.25">
      <c r="A375" s="421" t="s">
        <v>545</v>
      </c>
      <c r="B375" s="412">
        <f>VLOOKUP(B353,'BANG LUONG 1'!$B$5:$AJ$56,27,0)</f>
        <v>0</v>
      </c>
      <c r="C375" s="421">
        <v>25</v>
      </c>
      <c r="D375" s="41"/>
    </row>
    <row r="376" spans="1:5" x14ac:dyDescent="0.25">
      <c r="A376" s="421" t="s">
        <v>544</v>
      </c>
      <c r="B376" s="412">
        <f>VLOOKUP(B353,'BANG LUONG 1'!$B$5:$AJ$56,28,0)</f>
        <v>480585</v>
      </c>
      <c r="C376" s="421">
        <v>26</v>
      </c>
      <c r="D376" s="41"/>
    </row>
    <row r="377" spans="1:5" x14ac:dyDescent="0.25">
      <c r="A377" s="421" t="s">
        <v>712</v>
      </c>
      <c r="B377" s="415">
        <f>VLOOKUP(B353,'BANG LUONG 1'!$B$5:$AJ$56,32,0)</f>
        <v>0</v>
      </c>
      <c r="C377" s="421"/>
      <c r="D377" s="41"/>
    </row>
    <row r="378" spans="1:5" x14ac:dyDescent="0.25">
      <c r="A378" s="421" t="s">
        <v>713</v>
      </c>
      <c r="B378" s="415">
        <f>VLOOKUP(B353,'BANG LUONG 1'!$B$5:$AJ$56,33,0)</f>
        <v>242000</v>
      </c>
      <c r="C378" s="421"/>
      <c r="D378" s="41"/>
    </row>
    <row r="379" spans="1:5" x14ac:dyDescent="0.25">
      <c r="A379" s="183" t="s">
        <v>707</v>
      </c>
      <c r="B379" s="415">
        <f>VLOOKUP(B353,'BANG LUONG 1'!$B$5:$AJ$56,30,0)</f>
        <v>100000</v>
      </c>
      <c r="C379" s="421"/>
      <c r="D379" s="41"/>
      <c r="E379" s="108" t="str">
        <f>B354</f>
        <v>Châu Văn Phước</v>
      </c>
    </row>
    <row r="380" spans="1:5" x14ac:dyDescent="0.25">
      <c r="A380" s="183" t="s">
        <v>546</v>
      </c>
      <c r="B380" s="415">
        <f>VLOOKUP(B353,'BANG LUONG 1'!$B$5:$AJ$56,35,0)</f>
        <v>11070000</v>
      </c>
      <c r="C380" s="421"/>
      <c r="D380" s="41"/>
    </row>
    <row r="381" spans="1:5" x14ac:dyDescent="0.25">
      <c r="A381" s="184" t="s">
        <v>549</v>
      </c>
      <c r="B381" s="424">
        <f>'BANG LUONG 1'!$P$3</f>
        <v>43733</v>
      </c>
    </row>
    <row r="382" spans="1:5" x14ac:dyDescent="0.25">
      <c r="A382" s="183" t="s">
        <v>1</v>
      </c>
      <c r="B382" s="185" t="s">
        <v>136</v>
      </c>
      <c r="C382" s="421">
        <v>1</v>
      </c>
      <c r="D382" s="41"/>
    </row>
    <row r="383" spans="1:5" x14ac:dyDescent="0.25">
      <c r="A383" s="183" t="s">
        <v>2</v>
      </c>
      <c r="B383" s="185" t="str">
        <f>VLOOKUP($B382,'BANG LUONG 1'!$B$6:$AB$51,C383,0)</f>
        <v>Thạch Giàu</v>
      </c>
      <c r="C383" s="421">
        <v>2</v>
      </c>
      <c r="D383" s="41"/>
    </row>
    <row r="384" spans="1:5" x14ac:dyDescent="0.25">
      <c r="A384" s="421" t="s">
        <v>3</v>
      </c>
      <c r="B384" s="41" t="str">
        <f>VLOOKUP($B382,'BANG LUONG 1'!$B$6:$AJ$51,C384,0)</f>
        <v>Lái xe cơ giới</v>
      </c>
      <c r="C384" s="421">
        <v>3</v>
      </c>
      <c r="D384" s="41"/>
    </row>
    <row r="385" spans="1:5" x14ac:dyDescent="0.25">
      <c r="A385" s="421" t="s">
        <v>376</v>
      </c>
      <c r="B385" s="410">
        <f>VLOOKUP($B382,'BANG LUONG 1'!$B$5:$AJ$56,4,0)</f>
        <v>41321</v>
      </c>
      <c r="C385" s="421">
        <v>4</v>
      </c>
      <c r="D385" s="41"/>
    </row>
    <row r="386" spans="1:5" x14ac:dyDescent="0.25">
      <c r="A386" s="421" t="s">
        <v>698</v>
      </c>
      <c r="B386" s="411">
        <f>VLOOKUP(B382,'BANG LUONG 1'!$B$5:$AJ$56,6,0)</f>
        <v>6.0000000000000005E-2</v>
      </c>
      <c r="C386" s="421">
        <v>5</v>
      </c>
      <c r="D386" s="41"/>
    </row>
    <row r="387" spans="1:5" x14ac:dyDescent="0.25">
      <c r="A387" s="421" t="s">
        <v>229</v>
      </c>
      <c r="B387" s="412">
        <f>'thang luong moi'!$F$5</f>
        <v>4012500</v>
      </c>
      <c r="C387" s="421">
        <v>6</v>
      </c>
      <c r="D387" s="41"/>
    </row>
    <row r="388" spans="1:5" x14ac:dyDescent="0.25">
      <c r="A388" s="421" t="s">
        <v>217</v>
      </c>
      <c r="B388" s="412" t="str">
        <f>VLOOKUP(B382,'BANG LUONG 1'!$B$5:$AJ$56,8,0)</f>
        <v>B.02</v>
      </c>
      <c r="C388" s="421">
        <v>7</v>
      </c>
      <c r="D388" s="41"/>
    </row>
    <row r="389" spans="1:5" x14ac:dyDescent="0.25">
      <c r="A389" s="421" t="s">
        <v>230</v>
      </c>
      <c r="B389" s="412">
        <f>VLOOKUP(B382,'BANG LUONG 1'!$B$5:$AJ$56,9,0)</f>
        <v>1</v>
      </c>
      <c r="C389" s="421">
        <v>8</v>
      </c>
      <c r="D389" s="41"/>
    </row>
    <row r="390" spans="1:5" x14ac:dyDescent="0.25">
      <c r="A390" s="421" t="s">
        <v>538</v>
      </c>
      <c r="B390" s="412">
        <f>VLOOKUP(B382,'BANG LUONG 1'!$B$5:$AJ$56,11,0)</f>
        <v>4413750</v>
      </c>
      <c r="C390" s="421">
        <v>9</v>
      </c>
      <c r="D390" s="41"/>
    </row>
    <row r="391" spans="1:5" x14ac:dyDescent="0.25">
      <c r="A391" s="421" t="s">
        <v>354</v>
      </c>
      <c r="B391" s="412">
        <f>VLOOKUP(B382,'BANG LUONG 1'!$B$5:$AJ$56,12,0)</f>
        <v>5</v>
      </c>
      <c r="C391" s="421">
        <v>10</v>
      </c>
      <c r="D391" s="41"/>
    </row>
    <row r="392" spans="1:5" x14ac:dyDescent="0.25">
      <c r="A392" s="421" t="s">
        <v>534</v>
      </c>
      <c r="B392" s="412">
        <f>VLOOKUP(B382,'BANG LUONG 1'!$B$5:$AJ$56,13,0)</f>
        <v>848798.07692307688</v>
      </c>
      <c r="C392" s="421">
        <v>11</v>
      </c>
      <c r="D392" s="41"/>
    </row>
    <row r="393" spans="1:5" x14ac:dyDescent="0.25">
      <c r="A393" s="421" t="s">
        <v>592</v>
      </c>
      <c r="B393" s="412">
        <f>VLOOKUP(B382,'BANG LUONG 1'!$B$5:$AJ$56,14,0)</f>
        <v>21</v>
      </c>
      <c r="C393" s="421">
        <v>12</v>
      </c>
      <c r="D393" s="41">
        <f>B390/26*B393</f>
        <v>3564951.923076923</v>
      </c>
    </row>
    <row r="394" spans="1:5" x14ac:dyDescent="0.25">
      <c r="A394" s="421" t="s">
        <v>357</v>
      </c>
      <c r="B394" s="412">
        <f>VLOOKUP(B382,'BANG LUONG 1'!$B$5:$AJ$56,15,0)</f>
        <v>2</v>
      </c>
      <c r="C394" s="421">
        <v>13</v>
      </c>
      <c r="D394" s="41">
        <f>B390/26/8*1.5*B394</f>
        <v>63659.855769230766</v>
      </c>
    </row>
    <row r="395" spans="1:5" x14ac:dyDescent="0.25">
      <c r="A395" s="421" t="s">
        <v>387</v>
      </c>
      <c r="B395" s="412">
        <f>VLOOKUP(B382,'BANG LUONG 1'!$B$5:$AJ$56,16,0)</f>
        <v>8</v>
      </c>
      <c r="C395" s="421">
        <v>14</v>
      </c>
      <c r="D395" s="41">
        <f>B390/26/8*2*B395</f>
        <v>339519.23076923075</v>
      </c>
    </row>
    <row r="396" spans="1:5" x14ac:dyDescent="0.25">
      <c r="A396" s="421" t="s">
        <v>593</v>
      </c>
      <c r="B396" s="412">
        <f>VLOOKUP(B382,'BANG LUONG 1'!$B$5:$AJ$56,17,0)</f>
        <v>1</v>
      </c>
      <c r="C396" s="421"/>
      <c r="D396" s="41">
        <f>(B390/26)*B396</f>
        <v>169759.61538461538</v>
      </c>
    </row>
    <row r="397" spans="1:5" x14ac:dyDescent="0.25">
      <c r="A397" s="421" t="s">
        <v>388</v>
      </c>
      <c r="B397" s="412">
        <f>VLOOKUP(B382,'BANG LUONG 1'!$B$5:$AJ$56,18,0)</f>
        <v>0</v>
      </c>
      <c r="C397" s="421">
        <v>15</v>
      </c>
      <c r="D397" s="41">
        <f>(B390/26*B397)*3</f>
        <v>0</v>
      </c>
    </row>
    <row r="398" spans="1:5" x14ac:dyDescent="0.25">
      <c r="A398" s="421" t="s">
        <v>533</v>
      </c>
      <c r="B398" s="412">
        <f>VLOOKUP(B382,'BANG LUONG 1'!$B$5:$AJ$56,19,0)</f>
        <v>4986688.701923077</v>
      </c>
      <c r="C398" s="183">
        <v>16</v>
      </c>
      <c r="D398" s="185">
        <f>B392+D394+D395+D393+D397+D396</f>
        <v>4986688.701923077</v>
      </c>
      <c r="E398" s="108"/>
    </row>
    <row r="399" spans="1:5" x14ac:dyDescent="0.25">
      <c r="A399" s="421" t="s">
        <v>535</v>
      </c>
      <c r="B399" s="412">
        <f>VLOOKUP(B382,'BANG LUONG 1'!$B$5:$AJ$56,20,0)</f>
        <v>510271.94531658816</v>
      </c>
      <c r="C399" s="421">
        <v>17</v>
      </c>
      <c r="D399" s="41"/>
    </row>
    <row r="400" spans="1:5" x14ac:dyDescent="0.25">
      <c r="A400" s="421" t="s">
        <v>370</v>
      </c>
      <c r="B400" s="412">
        <f>VLOOKUP(B382,'BANG LUONG 1'!$B$5:$AJ$56,22,0)</f>
        <v>264825</v>
      </c>
      <c r="C400" s="421">
        <v>18</v>
      </c>
      <c r="D400" s="41"/>
    </row>
    <row r="401" spans="1:5" x14ac:dyDescent="0.25">
      <c r="A401" s="421" t="s">
        <v>371</v>
      </c>
      <c r="B401" s="412">
        <f>VLOOKUP(B382,'BANG LUONG 1'!$B$5:$AJ$56,23,0)</f>
        <v>0</v>
      </c>
      <c r="C401" s="421">
        <v>19</v>
      </c>
      <c r="D401" s="41"/>
    </row>
    <row r="402" spans="1:5" x14ac:dyDescent="0.25">
      <c r="A402" s="421" t="s">
        <v>560</v>
      </c>
      <c r="B402" s="412">
        <f>VLOOKUP(B382,'BANG LUONG 1'!$B$5:$AJ$56,24,0)</f>
        <v>0</v>
      </c>
      <c r="C402" s="421">
        <v>22</v>
      </c>
      <c r="D402" s="41"/>
    </row>
    <row r="403" spans="1:5" x14ac:dyDescent="0.25">
      <c r="A403" s="183" t="s">
        <v>237</v>
      </c>
      <c r="B403" s="415">
        <f>VLOOKUP(B382,'BANG LUONG 1'!$B$5:$AJ$56,26,0)</f>
        <v>5761785.6472396655</v>
      </c>
      <c r="C403" s="421">
        <v>24</v>
      </c>
      <c r="D403" s="41"/>
    </row>
    <row r="404" spans="1:5" x14ac:dyDescent="0.25">
      <c r="A404" s="421" t="s">
        <v>545</v>
      </c>
      <c r="B404" s="412">
        <f>VLOOKUP(B382,'BANG LUONG 1'!$B$5:$AJ$56,27,0)</f>
        <v>0</v>
      </c>
      <c r="C404" s="421">
        <v>25</v>
      </c>
      <c r="D404" s="41"/>
    </row>
    <row r="405" spans="1:5" x14ac:dyDescent="0.25">
      <c r="A405" s="421" t="s">
        <v>544</v>
      </c>
      <c r="B405" s="412">
        <f>VLOOKUP(B382,'BANG LUONG 1'!$B$5:$AJ$56,28,0)</f>
        <v>480585</v>
      </c>
      <c r="C405" s="421">
        <v>26</v>
      </c>
      <c r="D405" s="41"/>
    </row>
    <row r="406" spans="1:5" x14ac:dyDescent="0.25">
      <c r="A406" s="421" t="s">
        <v>712</v>
      </c>
      <c r="B406" s="415">
        <f>VLOOKUP(B382,'BANG LUONG 1'!$B$5:$AJ$56,32,0)</f>
        <v>0</v>
      </c>
      <c r="C406" s="421"/>
      <c r="D406" s="41"/>
    </row>
    <row r="407" spans="1:5" x14ac:dyDescent="0.25">
      <c r="A407" s="421" t="s">
        <v>713</v>
      </c>
      <c r="B407" s="415">
        <f>VLOOKUP(B382,'BANG LUONG 1'!$B$5:$AJ$56,33,0)</f>
        <v>0</v>
      </c>
      <c r="C407" s="421"/>
      <c r="D407" s="41"/>
    </row>
    <row r="408" spans="1:5" x14ac:dyDescent="0.25">
      <c r="A408" s="183" t="s">
        <v>707</v>
      </c>
      <c r="B408" s="415">
        <f>VLOOKUP(B382,'BANG LUONG 1'!$B$5:$AJ$56,30,0)</f>
        <v>100000</v>
      </c>
      <c r="C408" s="421"/>
      <c r="D408" s="41"/>
      <c r="E408" s="108" t="str">
        <f>B383</f>
        <v>Thạch Giàu</v>
      </c>
    </row>
    <row r="409" spans="1:5" x14ac:dyDescent="0.25">
      <c r="A409" s="183" t="s">
        <v>546</v>
      </c>
      <c r="B409" s="415">
        <f>VLOOKUP(B382,'BANG LUONG 1'!$B$5:$AJ$56,35,0)</f>
        <v>5381000</v>
      </c>
      <c r="C409" s="421"/>
      <c r="D409" s="41"/>
    </row>
    <row r="410" spans="1:5" x14ac:dyDescent="0.25">
      <c r="A410" s="184" t="s">
        <v>549</v>
      </c>
      <c r="B410" s="424">
        <f>'BANG LUONG 1'!$P$3</f>
        <v>43733</v>
      </c>
    </row>
    <row r="411" spans="1:5" x14ac:dyDescent="0.25">
      <c r="A411" s="183" t="s">
        <v>1</v>
      </c>
      <c r="B411" s="185" t="s">
        <v>137</v>
      </c>
      <c r="C411" s="421">
        <v>1</v>
      </c>
      <c r="D411" s="41"/>
    </row>
    <row r="412" spans="1:5" x14ac:dyDescent="0.25">
      <c r="A412" s="183" t="s">
        <v>2</v>
      </c>
      <c r="B412" s="185" t="str">
        <f>VLOOKUP($B411,'BANG LUONG 1'!$B$6:$AB$51,C412,0)</f>
        <v>Trần Thanh Hậu</v>
      </c>
      <c r="C412" s="421">
        <v>2</v>
      </c>
      <c r="D412" s="41"/>
    </row>
    <row r="413" spans="1:5" x14ac:dyDescent="0.25">
      <c r="A413" s="421" t="s">
        <v>3</v>
      </c>
      <c r="B413" s="41" t="str">
        <f>VLOOKUP($B411,'BANG LUONG 1'!$B$6:$AJ$51,C413,0)</f>
        <v>Lái xe cơ giới</v>
      </c>
      <c r="C413" s="421">
        <v>3</v>
      </c>
      <c r="D413" s="41"/>
    </row>
    <row r="414" spans="1:5" x14ac:dyDescent="0.25">
      <c r="A414" s="421" t="s">
        <v>376</v>
      </c>
      <c r="B414" s="410">
        <f>VLOOKUP($B411,'BANG LUONG 1'!$B$5:$AJ$56,4,0)</f>
        <v>41852</v>
      </c>
      <c r="C414" s="421">
        <v>4</v>
      </c>
      <c r="D414" s="41"/>
    </row>
    <row r="415" spans="1:5" x14ac:dyDescent="0.25">
      <c r="A415" s="421" t="s">
        <v>698</v>
      </c>
      <c r="B415" s="411">
        <f>VLOOKUP(B411,'BANG LUONG 1'!$B$5:$AJ$56,6,0)</f>
        <v>0.05</v>
      </c>
      <c r="C415" s="421">
        <v>5</v>
      </c>
      <c r="D415" s="41"/>
    </row>
    <row r="416" spans="1:5" x14ac:dyDescent="0.25">
      <c r="A416" s="421" t="s">
        <v>229</v>
      </c>
      <c r="B416" s="412">
        <f>'thang luong moi'!$F$5</f>
        <v>4012500</v>
      </c>
      <c r="C416" s="421">
        <v>6</v>
      </c>
      <c r="D416" s="41"/>
    </row>
    <row r="417" spans="1:5" x14ac:dyDescent="0.25">
      <c r="A417" s="421" t="s">
        <v>217</v>
      </c>
      <c r="B417" s="412" t="str">
        <f>VLOOKUP(B411,'BANG LUONG 1'!$B$5:$AJ$56,8,0)</f>
        <v>B.02</v>
      </c>
      <c r="C417" s="421">
        <v>7</v>
      </c>
      <c r="D417" s="41"/>
    </row>
    <row r="418" spans="1:5" x14ac:dyDescent="0.25">
      <c r="A418" s="421" t="s">
        <v>230</v>
      </c>
      <c r="B418" s="412">
        <f>VLOOKUP(B411,'BANG LUONG 1'!$B$5:$AJ$56,9,0)</f>
        <v>1</v>
      </c>
      <c r="C418" s="421">
        <v>8</v>
      </c>
      <c r="D418" s="41"/>
    </row>
    <row r="419" spans="1:5" x14ac:dyDescent="0.25">
      <c r="A419" s="421" t="s">
        <v>538</v>
      </c>
      <c r="B419" s="412">
        <f>VLOOKUP(B411,'BANG LUONG 1'!$B$5:$AJ$56,11,0)</f>
        <v>4413750</v>
      </c>
      <c r="C419" s="421">
        <v>9</v>
      </c>
      <c r="D419" s="41"/>
    </row>
    <row r="420" spans="1:5" x14ac:dyDescent="0.25">
      <c r="A420" s="421" t="s">
        <v>354</v>
      </c>
      <c r="B420" s="412">
        <f>VLOOKUP(B411,'BANG LUONG 1'!$B$5:$AJ$56,12,0)</f>
        <v>25</v>
      </c>
      <c r="C420" s="421">
        <v>10</v>
      </c>
      <c r="D420" s="41"/>
    </row>
    <row r="421" spans="1:5" x14ac:dyDescent="0.25">
      <c r="A421" s="421" t="s">
        <v>534</v>
      </c>
      <c r="B421" s="412">
        <f>VLOOKUP(B411,'BANG LUONG 1'!$B$5:$AJ$56,13,0)</f>
        <v>4243990.384615384</v>
      </c>
      <c r="C421" s="421">
        <v>11</v>
      </c>
      <c r="D421" s="41"/>
    </row>
    <row r="422" spans="1:5" x14ac:dyDescent="0.25">
      <c r="A422" s="421" t="s">
        <v>592</v>
      </c>
      <c r="B422" s="412">
        <f>VLOOKUP(B411,'BANG LUONG 1'!$B$5:$AJ$56,14,0)</f>
        <v>0</v>
      </c>
      <c r="C422" s="421">
        <v>12</v>
      </c>
      <c r="D422" s="41">
        <f>B419/26*B422</f>
        <v>0</v>
      </c>
    </row>
    <row r="423" spans="1:5" x14ac:dyDescent="0.25">
      <c r="A423" s="421" t="s">
        <v>357</v>
      </c>
      <c r="B423" s="412">
        <f>VLOOKUP(B411,'BANG LUONG 1'!$B$5:$AJ$56,15,0)</f>
        <v>30</v>
      </c>
      <c r="C423" s="421">
        <v>13</v>
      </c>
      <c r="D423" s="41">
        <f>B419/26/8*1.5*B423</f>
        <v>954897.8365384615</v>
      </c>
    </row>
    <row r="424" spans="1:5" x14ac:dyDescent="0.25">
      <c r="A424" s="421" t="s">
        <v>387</v>
      </c>
      <c r="B424" s="412">
        <f>VLOOKUP(B411,'BANG LUONG 1'!$B$5:$AJ$56,16,0)</f>
        <v>24</v>
      </c>
      <c r="C424" s="421">
        <v>14</v>
      </c>
      <c r="D424" s="41">
        <f>B419/26/8*2*B424</f>
        <v>1018557.6923076923</v>
      </c>
    </row>
    <row r="425" spans="1:5" x14ac:dyDescent="0.25">
      <c r="A425" s="421" t="s">
        <v>593</v>
      </c>
      <c r="B425" s="412">
        <f>VLOOKUP(B411,'BANG LUONG 1'!$B$5:$AJ$56,17,0)</f>
        <v>1</v>
      </c>
      <c r="C425" s="421"/>
      <c r="D425" s="41">
        <f>(B419/26)*B425</f>
        <v>169759.61538461538</v>
      </c>
    </row>
    <row r="426" spans="1:5" x14ac:dyDescent="0.25">
      <c r="A426" s="421" t="s">
        <v>388</v>
      </c>
      <c r="B426" s="412">
        <f>VLOOKUP(B411,'BANG LUONG 1'!$B$5:$AJ$56,18,0)</f>
        <v>0</v>
      </c>
      <c r="C426" s="421">
        <v>15</v>
      </c>
      <c r="D426" s="41">
        <f>(B419/26*B426)*3</f>
        <v>0</v>
      </c>
    </row>
    <row r="427" spans="1:5" x14ac:dyDescent="0.25">
      <c r="A427" s="421" t="s">
        <v>533</v>
      </c>
      <c r="B427" s="412">
        <f>VLOOKUP(B411,'BANG LUONG 1'!$B$5:$AJ$56,19,0)</f>
        <v>6387205.5288461531</v>
      </c>
      <c r="C427" s="183">
        <v>16</v>
      </c>
      <c r="D427" s="185">
        <f>B421+D423+D424+D422+D426+D425</f>
        <v>6387205.5288461531</v>
      </c>
      <c r="E427" s="108"/>
    </row>
    <row r="428" spans="1:5" x14ac:dyDescent="0.25">
      <c r="A428" s="421" t="s">
        <v>535</v>
      </c>
      <c r="B428" s="412">
        <f>VLOOKUP(B411,'BANG LUONG 1'!$B$5:$AJ$56,20,0)</f>
        <v>4844471.153846154</v>
      </c>
      <c r="C428" s="421">
        <v>17</v>
      </c>
      <c r="D428" s="41"/>
    </row>
    <row r="429" spans="1:5" x14ac:dyDescent="0.25">
      <c r="A429" s="421" t="s">
        <v>370</v>
      </c>
      <c r="B429" s="412">
        <f>VLOOKUP(B411,'BANG LUONG 1'!$B$5:$AJ$56,22,0)</f>
        <v>220687.5</v>
      </c>
      <c r="C429" s="421">
        <v>18</v>
      </c>
      <c r="D429" s="41"/>
    </row>
    <row r="430" spans="1:5" x14ac:dyDescent="0.25">
      <c r="A430" s="421" t="s">
        <v>371</v>
      </c>
      <c r="B430" s="412">
        <f>VLOOKUP(B411,'BANG LUONG 1'!$B$5:$AJ$56,23,0)</f>
        <v>300000</v>
      </c>
      <c r="C430" s="421">
        <v>19</v>
      </c>
      <c r="D430" s="41"/>
    </row>
    <row r="431" spans="1:5" x14ac:dyDescent="0.25">
      <c r="A431" s="421" t="s">
        <v>560</v>
      </c>
      <c r="B431" s="412">
        <f>VLOOKUP(B411,'BANG LUONG 1'!$B$5:$AJ$56,24,0)</f>
        <v>0</v>
      </c>
      <c r="C431" s="421">
        <v>22</v>
      </c>
      <c r="D431" s="41"/>
    </row>
    <row r="432" spans="1:5" x14ac:dyDescent="0.25">
      <c r="A432" s="183" t="s">
        <v>237</v>
      </c>
      <c r="B432" s="415">
        <f>VLOOKUP(B411,'BANG LUONG 1'!$B$5:$AJ$56,26,0)</f>
        <v>11752364.182692308</v>
      </c>
      <c r="C432" s="421">
        <v>24</v>
      </c>
      <c r="D432" s="41"/>
    </row>
    <row r="433" spans="1:5" x14ac:dyDescent="0.25">
      <c r="A433" s="421" t="s">
        <v>545</v>
      </c>
      <c r="B433" s="412">
        <f>VLOOKUP(B411,'BANG LUONG 1'!$B$5:$AJ$56,27,0)</f>
        <v>3000000</v>
      </c>
      <c r="C433" s="421">
        <v>25</v>
      </c>
      <c r="D433" s="41"/>
    </row>
    <row r="434" spans="1:5" x14ac:dyDescent="0.25">
      <c r="A434" s="421" t="s">
        <v>544</v>
      </c>
      <c r="B434" s="412">
        <f>VLOOKUP(B411,'BANG LUONG 1'!$B$5:$AJ$56,28,0)</f>
        <v>480585</v>
      </c>
      <c r="C434" s="421">
        <v>26</v>
      </c>
      <c r="D434" s="41"/>
    </row>
    <row r="435" spans="1:5" x14ac:dyDescent="0.25">
      <c r="A435" s="421" t="s">
        <v>712</v>
      </c>
      <c r="B435" s="415">
        <f>VLOOKUP(B411,'BANG LUONG 1'!$B$5:$AJ$56,32,0)</f>
        <v>0</v>
      </c>
      <c r="C435" s="421"/>
      <c r="D435" s="41"/>
    </row>
    <row r="436" spans="1:5" x14ac:dyDescent="0.25">
      <c r="A436" s="421" t="s">
        <v>713</v>
      </c>
      <c r="B436" s="415">
        <f>VLOOKUP(B411,'BANG LUONG 1'!$B$5:$AJ$56,33,0)</f>
        <v>198000</v>
      </c>
      <c r="C436" s="421"/>
      <c r="D436" s="41"/>
    </row>
    <row r="437" spans="1:5" x14ac:dyDescent="0.25">
      <c r="A437" s="183" t="s">
        <v>707</v>
      </c>
      <c r="B437" s="415">
        <f>VLOOKUP(B411,'BANG LUONG 1'!$B$5:$AJ$56,30,0)</f>
        <v>100000</v>
      </c>
      <c r="C437" s="421"/>
      <c r="D437" s="41"/>
      <c r="E437" s="108" t="str">
        <f>B412</f>
        <v>Trần Thanh Hậu</v>
      </c>
    </row>
    <row r="438" spans="1:5" x14ac:dyDescent="0.25">
      <c r="A438" s="183" t="s">
        <v>546</v>
      </c>
      <c r="B438" s="415">
        <f>VLOOKUP(B411,'BANG LUONG 1'!$B$5:$AJ$56,35,0)</f>
        <v>8570000</v>
      </c>
      <c r="C438" s="421"/>
      <c r="D438" s="41"/>
    </row>
    <row r="439" spans="1:5" x14ac:dyDescent="0.25">
      <c r="A439" s="184" t="s">
        <v>549</v>
      </c>
      <c r="B439" s="424">
        <f>'BANG LUONG 1'!$P$3</f>
        <v>43733</v>
      </c>
    </row>
    <row r="440" spans="1:5" x14ac:dyDescent="0.25">
      <c r="A440" s="183" t="s">
        <v>1</v>
      </c>
      <c r="B440" s="185" t="s">
        <v>138</v>
      </c>
      <c r="C440" s="421">
        <v>1</v>
      </c>
      <c r="D440" s="41"/>
    </row>
    <row r="441" spans="1:5" x14ac:dyDescent="0.25">
      <c r="A441" s="183" t="s">
        <v>2</v>
      </c>
      <c r="B441" s="185" t="str">
        <f>VLOOKUP($B440,'BANG LUONG 1'!$B$6:$AB$51,C441,0)</f>
        <v xml:space="preserve">Trần Văn Thứ </v>
      </c>
      <c r="C441" s="421">
        <v>2</v>
      </c>
      <c r="D441" s="41"/>
    </row>
    <row r="442" spans="1:5" x14ac:dyDescent="0.25">
      <c r="A442" s="421" t="s">
        <v>3</v>
      </c>
      <c r="B442" s="41" t="str">
        <f>VLOOKUP($B440,'BANG LUONG 1'!$B$6:$AJ$51,C442,0)</f>
        <v>Lái xe cơ giới</v>
      </c>
      <c r="C442" s="421">
        <v>3</v>
      </c>
      <c r="D442" s="41"/>
    </row>
    <row r="443" spans="1:5" x14ac:dyDescent="0.25">
      <c r="A443" s="421" t="s">
        <v>376</v>
      </c>
      <c r="B443" s="410">
        <f>VLOOKUP($B440,'BANG LUONG 1'!$B$5:$AJ$56,4,0)</f>
        <v>42066</v>
      </c>
      <c r="C443" s="421">
        <v>4</v>
      </c>
      <c r="D443" s="41"/>
    </row>
    <row r="444" spans="1:5" x14ac:dyDescent="0.25">
      <c r="A444" s="421" t="s">
        <v>698</v>
      </c>
      <c r="B444" s="411">
        <f>VLOOKUP(B440,'BANG LUONG 1'!$B$5:$AJ$56,6,0)</f>
        <v>0.04</v>
      </c>
      <c r="C444" s="421">
        <v>5</v>
      </c>
      <c r="D444" s="41"/>
    </row>
    <row r="445" spans="1:5" x14ac:dyDescent="0.25">
      <c r="A445" s="421" t="s">
        <v>229</v>
      </c>
      <c r="B445" s="412">
        <f>'thang luong moi'!$F$5</f>
        <v>4012500</v>
      </c>
      <c r="C445" s="421">
        <v>6</v>
      </c>
      <c r="D445" s="41"/>
    </row>
    <row r="446" spans="1:5" x14ac:dyDescent="0.25">
      <c r="A446" s="421" t="s">
        <v>217</v>
      </c>
      <c r="B446" s="412" t="str">
        <f>VLOOKUP(B440,'BANG LUONG 1'!$B$5:$AJ$56,8,0)</f>
        <v>B.02</v>
      </c>
      <c r="C446" s="421">
        <v>7</v>
      </c>
      <c r="D446" s="41"/>
    </row>
    <row r="447" spans="1:5" x14ac:dyDescent="0.25">
      <c r="A447" s="421" t="s">
        <v>230</v>
      </c>
      <c r="B447" s="412">
        <f>VLOOKUP(B440,'BANG LUONG 1'!$B$5:$AJ$56,9,0)</f>
        <v>1</v>
      </c>
      <c r="C447" s="421">
        <v>8</v>
      </c>
      <c r="D447" s="41"/>
    </row>
    <row r="448" spans="1:5" x14ac:dyDescent="0.25">
      <c r="A448" s="421" t="s">
        <v>538</v>
      </c>
      <c r="B448" s="412">
        <f>VLOOKUP(B440,'BANG LUONG 1'!$B$5:$AJ$56,11,0)</f>
        <v>4413750</v>
      </c>
      <c r="C448" s="421">
        <v>9</v>
      </c>
      <c r="D448" s="41"/>
    </row>
    <row r="449" spans="1:5" x14ac:dyDescent="0.25">
      <c r="A449" s="421" t="s">
        <v>354</v>
      </c>
      <c r="B449" s="412">
        <f>VLOOKUP(B440,'BANG LUONG 1'!$B$5:$AJ$56,12,0)</f>
        <v>26</v>
      </c>
      <c r="C449" s="421">
        <v>10</v>
      </c>
      <c r="D449" s="41"/>
    </row>
    <row r="450" spans="1:5" x14ac:dyDescent="0.25">
      <c r="A450" s="421" t="s">
        <v>534</v>
      </c>
      <c r="B450" s="412">
        <f>VLOOKUP(B440,'BANG LUONG 1'!$B$5:$AJ$56,13,0)</f>
        <v>4413750</v>
      </c>
      <c r="C450" s="421">
        <v>11</v>
      </c>
      <c r="D450" s="41"/>
    </row>
    <row r="451" spans="1:5" x14ac:dyDescent="0.25">
      <c r="A451" s="421" t="s">
        <v>592</v>
      </c>
      <c r="B451" s="412">
        <f>VLOOKUP(B440,'BANG LUONG 1'!$B$5:$AJ$56,14,0)</f>
        <v>0</v>
      </c>
      <c r="C451" s="421">
        <v>12</v>
      </c>
      <c r="D451" s="41">
        <f>B448/26*B451</f>
        <v>0</v>
      </c>
    </row>
    <row r="452" spans="1:5" x14ac:dyDescent="0.25">
      <c r="A452" s="421" t="s">
        <v>357</v>
      </c>
      <c r="B452" s="412">
        <f>VLOOKUP(B440,'BANG LUONG 1'!$B$5:$AJ$56,15,0)</f>
        <v>45</v>
      </c>
      <c r="C452" s="421">
        <v>13</v>
      </c>
      <c r="D452" s="41">
        <f>B448/26/8*1.5*B452</f>
        <v>1432346.7548076923</v>
      </c>
    </row>
    <row r="453" spans="1:5" x14ac:dyDescent="0.25">
      <c r="A453" s="421" t="s">
        <v>387</v>
      </c>
      <c r="B453" s="412">
        <f>VLOOKUP(B440,'BANG LUONG 1'!$B$5:$AJ$56,16,0)</f>
        <v>16</v>
      </c>
      <c r="C453" s="421">
        <v>14</v>
      </c>
      <c r="D453" s="41">
        <f>B448/26/8*2*B453</f>
        <v>679038.4615384615</v>
      </c>
    </row>
    <row r="454" spans="1:5" x14ac:dyDescent="0.25">
      <c r="A454" s="421" t="s">
        <v>593</v>
      </c>
      <c r="B454" s="412">
        <f>VLOOKUP(B440,'BANG LUONG 1'!$B$5:$AJ$56,17,0)</f>
        <v>1</v>
      </c>
      <c r="C454" s="421"/>
      <c r="D454" s="41">
        <f>(B448/26)*B454</f>
        <v>169759.61538461538</v>
      </c>
    </row>
    <row r="455" spans="1:5" x14ac:dyDescent="0.25">
      <c r="A455" s="421" t="s">
        <v>388</v>
      </c>
      <c r="B455" s="412">
        <f>VLOOKUP(B440,'BANG LUONG 1'!$B$5:$AJ$56,18,0)</f>
        <v>0</v>
      </c>
      <c r="C455" s="421">
        <v>15</v>
      </c>
      <c r="D455" s="41">
        <f>(B448/26*B455)*3</f>
        <v>0</v>
      </c>
    </row>
    <row r="456" spans="1:5" x14ac:dyDescent="0.25">
      <c r="A456" s="421" t="s">
        <v>533</v>
      </c>
      <c r="B456" s="412">
        <f>VLOOKUP(B440,'BANG LUONG 1'!$B$5:$AJ$56,19,0)</f>
        <v>6694894.831730769</v>
      </c>
      <c r="C456" s="183">
        <v>16</v>
      </c>
      <c r="D456" s="185">
        <f>B450+D452+D453+D451+D455+D454</f>
        <v>6694894.831730769</v>
      </c>
      <c r="E456" s="108"/>
    </row>
    <row r="457" spans="1:5" x14ac:dyDescent="0.25">
      <c r="A457" s="421" t="s">
        <v>535</v>
      </c>
      <c r="B457" s="412">
        <f>VLOOKUP(B440,'BANG LUONG 1'!$B$5:$AJ$56,20,0)</f>
        <v>5437656.5934065934</v>
      </c>
      <c r="C457" s="421">
        <v>17</v>
      </c>
      <c r="D457" s="41"/>
    </row>
    <row r="458" spans="1:5" x14ac:dyDescent="0.25">
      <c r="A458" s="421" t="s">
        <v>370</v>
      </c>
      <c r="B458" s="412">
        <f>VLOOKUP(B440,'BANG LUONG 1'!$B$5:$AJ$56,22,0)</f>
        <v>176550</v>
      </c>
      <c r="C458" s="421">
        <v>18</v>
      </c>
      <c r="D458" s="41"/>
    </row>
    <row r="459" spans="1:5" x14ac:dyDescent="0.25">
      <c r="A459" s="421" t="s">
        <v>371</v>
      </c>
      <c r="B459" s="412">
        <f>VLOOKUP(B440,'BANG LUONG 1'!$B$5:$AJ$56,23,0)</f>
        <v>300000</v>
      </c>
      <c r="C459" s="421">
        <v>19</v>
      </c>
      <c r="D459" s="41"/>
    </row>
    <row r="460" spans="1:5" x14ac:dyDescent="0.25">
      <c r="A460" s="421" t="s">
        <v>560</v>
      </c>
      <c r="B460" s="412">
        <f>VLOOKUP(B440,'BANG LUONG 1'!$B$5:$AJ$56,24,0)</f>
        <v>0</v>
      </c>
      <c r="C460" s="421">
        <v>22</v>
      </c>
      <c r="D460" s="41"/>
    </row>
    <row r="461" spans="1:5" x14ac:dyDescent="0.25">
      <c r="A461" s="183" t="s">
        <v>237</v>
      </c>
      <c r="B461" s="415">
        <f>VLOOKUP(B440,'BANG LUONG 1'!$B$5:$AJ$56,26,0)</f>
        <v>12609101.425137363</v>
      </c>
      <c r="C461" s="421">
        <v>24</v>
      </c>
      <c r="D461" s="41"/>
    </row>
    <row r="462" spans="1:5" x14ac:dyDescent="0.25">
      <c r="A462" s="421" t="s">
        <v>545</v>
      </c>
      <c r="B462" s="412">
        <f>VLOOKUP(B440,'BANG LUONG 1'!$B$5:$AJ$56,27,0)</f>
        <v>4000000</v>
      </c>
      <c r="C462" s="421">
        <v>25</v>
      </c>
      <c r="D462" s="41"/>
    </row>
    <row r="463" spans="1:5" x14ac:dyDescent="0.25">
      <c r="A463" s="421" t="s">
        <v>544</v>
      </c>
      <c r="B463" s="412">
        <f>VLOOKUP(B440,'BANG LUONG 1'!$B$5:$AJ$56,28,0)</f>
        <v>480585</v>
      </c>
      <c r="C463" s="421">
        <v>26</v>
      </c>
      <c r="D463" s="41"/>
    </row>
    <row r="464" spans="1:5" x14ac:dyDescent="0.25">
      <c r="A464" s="421" t="s">
        <v>712</v>
      </c>
      <c r="B464" s="415">
        <f>VLOOKUP(B440,'BANG LUONG 1'!$B$5:$AJ$56,32,0)</f>
        <v>0</v>
      </c>
      <c r="C464" s="421"/>
      <c r="D464" s="41"/>
    </row>
    <row r="465" spans="1:5" x14ac:dyDescent="0.25">
      <c r="A465" s="421" t="s">
        <v>713</v>
      </c>
      <c r="B465" s="415">
        <f>VLOOKUP(B440,'BANG LUONG 1'!$B$5:$AJ$56,33,0)</f>
        <v>264000</v>
      </c>
      <c r="C465" s="421"/>
      <c r="D465" s="41"/>
    </row>
    <row r="466" spans="1:5" x14ac:dyDescent="0.25">
      <c r="A466" s="183" t="s">
        <v>707</v>
      </c>
      <c r="B466" s="415">
        <f>VLOOKUP(B440,'BANG LUONG 1'!$B$5:$AJ$56,30,0)</f>
        <v>100000</v>
      </c>
      <c r="C466" s="421"/>
      <c r="D466" s="41"/>
      <c r="E466" s="108" t="str">
        <f>B441</f>
        <v xml:space="preserve">Trần Văn Thứ </v>
      </c>
    </row>
    <row r="467" spans="1:5" x14ac:dyDescent="0.25">
      <c r="A467" s="183" t="s">
        <v>546</v>
      </c>
      <c r="B467" s="415">
        <f>VLOOKUP(B440,'BANG LUONG 1'!$B$5:$AJ$56,35,0)</f>
        <v>8493000</v>
      </c>
      <c r="C467" s="421"/>
      <c r="D467" s="41"/>
    </row>
    <row r="468" spans="1:5" x14ac:dyDescent="0.25">
      <c r="A468" s="184" t="s">
        <v>549</v>
      </c>
      <c r="B468" s="424">
        <f>'BANG LUONG 1'!$P$3</f>
        <v>43733</v>
      </c>
    </row>
    <row r="469" spans="1:5" x14ac:dyDescent="0.25">
      <c r="A469" s="183" t="s">
        <v>1</v>
      </c>
      <c r="B469" s="185" t="s">
        <v>139</v>
      </c>
      <c r="C469" s="421">
        <v>1</v>
      </c>
      <c r="D469" s="41"/>
    </row>
    <row r="470" spans="1:5" x14ac:dyDescent="0.25">
      <c r="A470" s="183" t="s">
        <v>2</v>
      </c>
      <c r="B470" s="185" t="str">
        <f>VLOOKUP($B469,'BANG LUONG 1'!$B$6:$AB$51,C470,0)</f>
        <v>Lê Tấn Phát</v>
      </c>
      <c r="C470" s="421">
        <v>2</v>
      </c>
      <c r="D470" s="41"/>
    </row>
    <row r="471" spans="1:5" x14ac:dyDescent="0.25">
      <c r="A471" s="421" t="s">
        <v>3</v>
      </c>
      <c r="B471" s="41" t="str">
        <f>VLOOKUP($B469,'BANG LUONG 1'!$B$6:$AJ$51,C471,0)</f>
        <v>Lái xe cơ giới</v>
      </c>
      <c r="C471" s="421">
        <v>3</v>
      </c>
      <c r="D471" s="41"/>
    </row>
    <row r="472" spans="1:5" x14ac:dyDescent="0.25">
      <c r="A472" s="421" t="s">
        <v>376</v>
      </c>
      <c r="B472" s="410">
        <f>VLOOKUP($B469,'BANG LUONG 1'!$B$5:$AJ$56,4,0)</f>
        <v>37257</v>
      </c>
      <c r="C472" s="421">
        <v>4</v>
      </c>
      <c r="D472" s="41"/>
    </row>
    <row r="473" spans="1:5" x14ac:dyDescent="0.25">
      <c r="A473" s="421" t="s">
        <v>698</v>
      </c>
      <c r="B473" s="411">
        <f>VLOOKUP(B469,'BANG LUONG 1'!$B$5:$AJ$56,6,0)</f>
        <v>0.17</v>
      </c>
      <c r="C473" s="421">
        <v>5</v>
      </c>
      <c r="D473" s="41"/>
    </row>
    <row r="474" spans="1:5" x14ac:dyDescent="0.25">
      <c r="A474" s="421" t="s">
        <v>229</v>
      </c>
      <c r="B474" s="412">
        <f>'thang luong moi'!$F$5</f>
        <v>4012500</v>
      </c>
      <c r="C474" s="421">
        <v>6</v>
      </c>
      <c r="D474" s="41"/>
    </row>
    <row r="475" spans="1:5" x14ac:dyDescent="0.25">
      <c r="A475" s="421" t="s">
        <v>217</v>
      </c>
      <c r="B475" s="412" t="str">
        <f>VLOOKUP(B469,'BANG LUONG 1'!$B$5:$AJ$56,8,0)</f>
        <v>B.02</v>
      </c>
      <c r="C475" s="421">
        <v>7</v>
      </c>
      <c r="D475" s="41"/>
    </row>
    <row r="476" spans="1:5" x14ac:dyDescent="0.25">
      <c r="A476" s="421" t="s">
        <v>230</v>
      </c>
      <c r="B476" s="412">
        <f>VLOOKUP(B469,'BANG LUONG 1'!$B$5:$AJ$56,9,0)</f>
        <v>2</v>
      </c>
      <c r="C476" s="421">
        <v>8</v>
      </c>
      <c r="D476" s="41"/>
    </row>
    <row r="477" spans="1:5" x14ac:dyDescent="0.25">
      <c r="A477" s="421" t="s">
        <v>538</v>
      </c>
      <c r="B477" s="412">
        <f>VLOOKUP(B469,'BANG LUONG 1'!$B$5:$AJ$56,11,0)</f>
        <v>4694625.0000000009</v>
      </c>
      <c r="C477" s="421">
        <v>9</v>
      </c>
      <c r="D477" s="41"/>
    </row>
    <row r="478" spans="1:5" x14ac:dyDescent="0.25">
      <c r="A478" s="421" t="s">
        <v>354</v>
      </c>
      <c r="B478" s="412">
        <f>VLOOKUP(B469,'BANG LUONG 1'!$B$5:$AJ$56,12,0)</f>
        <v>26</v>
      </c>
      <c r="C478" s="421">
        <v>10</v>
      </c>
      <c r="D478" s="41"/>
    </row>
    <row r="479" spans="1:5" x14ac:dyDescent="0.25">
      <c r="A479" s="421" t="s">
        <v>534</v>
      </c>
      <c r="B479" s="412">
        <f>VLOOKUP(B469,'BANG LUONG 1'!$B$5:$AJ$56,13,0)</f>
        <v>4694625.0000000009</v>
      </c>
      <c r="C479" s="421">
        <v>11</v>
      </c>
      <c r="D479" s="41"/>
    </row>
    <row r="480" spans="1:5" x14ac:dyDescent="0.25">
      <c r="A480" s="421" t="s">
        <v>592</v>
      </c>
      <c r="B480" s="412">
        <f>VLOOKUP(B469,'BANG LUONG 1'!$B$5:$AJ$56,14,0)</f>
        <v>0</v>
      </c>
      <c r="C480" s="421">
        <v>12</v>
      </c>
      <c r="D480" s="41">
        <f>B477/26*B480</f>
        <v>0</v>
      </c>
    </row>
    <row r="481" spans="1:5" x14ac:dyDescent="0.25">
      <c r="A481" s="421" t="s">
        <v>357</v>
      </c>
      <c r="B481" s="412">
        <f>VLOOKUP(B469,'BANG LUONG 1'!$B$5:$AJ$56,15,0)</f>
        <v>33.5</v>
      </c>
      <c r="C481" s="421">
        <v>13</v>
      </c>
      <c r="D481" s="41">
        <f>B477/26/8*1.5*B481</f>
        <v>1134158.2031250002</v>
      </c>
    </row>
    <row r="482" spans="1:5" x14ac:dyDescent="0.25">
      <c r="A482" s="421" t="s">
        <v>387</v>
      </c>
      <c r="B482" s="412">
        <f>VLOOKUP(B469,'BANG LUONG 1'!$B$5:$AJ$56,16,0)</f>
        <v>16</v>
      </c>
      <c r="C482" s="421">
        <v>14</v>
      </c>
      <c r="D482" s="41">
        <f>B477/26/8*2*B482</f>
        <v>722250.00000000012</v>
      </c>
    </row>
    <row r="483" spans="1:5" x14ac:dyDescent="0.25">
      <c r="A483" s="421" t="s">
        <v>593</v>
      </c>
      <c r="B483" s="412">
        <f>VLOOKUP(B469,'BANG LUONG 1'!$B$5:$AJ$56,17,0)</f>
        <v>1</v>
      </c>
      <c r="C483" s="421"/>
      <c r="D483" s="41">
        <f>(B477/26)*B483</f>
        <v>180562.50000000003</v>
      </c>
    </row>
    <row r="484" spans="1:5" x14ac:dyDescent="0.25">
      <c r="A484" s="421" t="s">
        <v>388</v>
      </c>
      <c r="B484" s="412">
        <f>VLOOKUP(B469,'BANG LUONG 1'!$B$5:$AJ$56,18,0)</f>
        <v>0</v>
      </c>
      <c r="C484" s="421">
        <v>15</v>
      </c>
      <c r="D484" s="41">
        <f>(B477/26*B484)*3</f>
        <v>0</v>
      </c>
    </row>
    <row r="485" spans="1:5" x14ac:dyDescent="0.25">
      <c r="A485" s="421" t="s">
        <v>533</v>
      </c>
      <c r="B485" s="412">
        <f>VLOOKUP(B469,'BANG LUONG 1'!$B$5:$AJ$56,19,0)</f>
        <v>6731595.7031250009</v>
      </c>
      <c r="C485" s="183">
        <v>16</v>
      </c>
      <c r="D485" s="185">
        <f>B479+D481+D482+D480+D484+D483</f>
        <v>6731595.7031250009</v>
      </c>
      <c r="E485" s="108"/>
    </row>
    <row r="486" spans="1:5" x14ac:dyDescent="0.25">
      <c r="A486" s="421" t="s">
        <v>535</v>
      </c>
      <c r="B486" s="412">
        <f>VLOOKUP(B469,'BANG LUONG 1'!$B$5:$AJ$56,20,0)</f>
        <v>4200671.7032967033</v>
      </c>
      <c r="C486" s="421">
        <v>17</v>
      </c>
      <c r="D486" s="41"/>
    </row>
    <row r="487" spans="1:5" x14ac:dyDescent="0.25">
      <c r="A487" s="421" t="s">
        <v>370</v>
      </c>
      <c r="B487" s="412">
        <f>VLOOKUP(B469,'BANG LUONG 1'!$B$5:$AJ$56,22,0)</f>
        <v>798086.25000000023</v>
      </c>
      <c r="C487" s="421">
        <v>18</v>
      </c>
      <c r="D487" s="41"/>
    </row>
    <row r="488" spans="1:5" x14ac:dyDescent="0.25">
      <c r="A488" s="421" t="s">
        <v>371</v>
      </c>
      <c r="B488" s="412">
        <f>VLOOKUP(B469,'BANG LUONG 1'!$B$5:$AJ$56,23,0)</f>
        <v>300000</v>
      </c>
      <c r="C488" s="421">
        <v>19</v>
      </c>
      <c r="D488" s="41"/>
    </row>
    <row r="489" spans="1:5" x14ac:dyDescent="0.25">
      <c r="A489" s="421" t="s">
        <v>560</v>
      </c>
      <c r="B489" s="412">
        <f>VLOOKUP(B469,'BANG LUONG 1'!$B$5:$AJ$56,24,0)</f>
        <v>0</v>
      </c>
      <c r="C489" s="421">
        <v>22</v>
      </c>
      <c r="D489" s="41"/>
    </row>
    <row r="490" spans="1:5" x14ac:dyDescent="0.25">
      <c r="A490" s="183" t="s">
        <v>237</v>
      </c>
      <c r="B490" s="415">
        <f>VLOOKUP(B469,'BANG LUONG 1'!$B$5:$AJ$56,26,0)</f>
        <v>12030353.656421704</v>
      </c>
      <c r="C490" s="421">
        <v>24</v>
      </c>
      <c r="D490" s="41"/>
    </row>
    <row r="491" spans="1:5" x14ac:dyDescent="0.25">
      <c r="A491" s="421" t="s">
        <v>545</v>
      </c>
      <c r="B491" s="412">
        <f>VLOOKUP(B469,'BANG LUONG 1'!$B$5:$AJ$56,27,0)</f>
        <v>0</v>
      </c>
      <c r="C491" s="421">
        <v>25</v>
      </c>
      <c r="D491" s="41"/>
    </row>
    <row r="492" spans="1:5" x14ac:dyDescent="0.25">
      <c r="A492" s="421" t="s">
        <v>544</v>
      </c>
      <c r="B492" s="412">
        <f>VLOOKUP(B469,'BANG LUONG 1'!$B$5:$AJ$56,28,0)</f>
        <v>480585</v>
      </c>
      <c r="C492" s="421">
        <v>26</v>
      </c>
      <c r="D492" s="41"/>
    </row>
    <row r="493" spans="1:5" x14ac:dyDescent="0.25">
      <c r="A493" s="421" t="s">
        <v>712</v>
      </c>
      <c r="B493" s="415">
        <f>VLOOKUP(B469,'BANG LUONG 1'!$B$5:$AJ$56,32,0)</f>
        <v>0</v>
      </c>
      <c r="C493" s="421"/>
      <c r="D493" s="41"/>
    </row>
    <row r="494" spans="1:5" x14ac:dyDescent="0.25">
      <c r="A494" s="421" t="s">
        <v>713</v>
      </c>
      <c r="B494" s="415">
        <f>VLOOKUP(B469,'BANG LUONG 1'!$B$5:$AJ$56,33,0)</f>
        <v>110000</v>
      </c>
      <c r="C494" s="421"/>
      <c r="D494" s="41"/>
    </row>
    <row r="495" spans="1:5" x14ac:dyDescent="0.25">
      <c r="A495" s="183" t="s">
        <v>707</v>
      </c>
      <c r="B495" s="415">
        <f>VLOOKUP(B469,'BANG LUONG 1'!$B$5:$AJ$56,30,0)</f>
        <v>100000</v>
      </c>
      <c r="C495" s="421"/>
      <c r="D495" s="41"/>
      <c r="E495" s="108" t="str">
        <f>B470</f>
        <v>Lê Tấn Phát</v>
      </c>
    </row>
    <row r="496" spans="1:5" x14ac:dyDescent="0.25">
      <c r="A496" s="183" t="s">
        <v>546</v>
      </c>
      <c r="B496" s="415">
        <f>VLOOKUP(B469,'BANG LUONG 1'!$B$5:$AJ$56,35,0)</f>
        <v>11760000</v>
      </c>
      <c r="C496" s="421"/>
      <c r="D496" s="41"/>
    </row>
    <row r="497" spans="1:4" x14ac:dyDescent="0.25">
      <c r="A497" s="184" t="s">
        <v>549</v>
      </c>
      <c r="B497" s="424">
        <f>'BANG LUONG 1'!$P$3</f>
        <v>43733</v>
      </c>
    </row>
    <row r="498" spans="1:4" x14ac:dyDescent="0.25">
      <c r="A498" s="183" t="s">
        <v>1</v>
      </c>
      <c r="B498" s="185" t="s">
        <v>140</v>
      </c>
      <c r="C498" s="421">
        <v>1</v>
      </c>
      <c r="D498" s="41"/>
    </row>
    <row r="499" spans="1:4" x14ac:dyDescent="0.25">
      <c r="A499" s="183" t="s">
        <v>2</v>
      </c>
      <c r="B499" s="185" t="str">
        <f>VLOOKUP($B498,'BANG LUONG 1'!$B$6:$AB$51,C499,0)</f>
        <v>Quách Văn Chánh</v>
      </c>
      <c r="C499" s="421">
        <v>2</v>
      </c>
      <c r="D499" s="41"/>
    </row>
    <row r="500" spans="1:4" x14ac:dyDescent="0.25">
      <c r="A500" s="421" t="s">
        <v>3</v>
      </c>
      <c r="B500" s="41" t="str">
        <f>VLOOKUP($B498,'BANG LUONG 1'!$B$6:$AJ$51,C500,0)</f>
        <v xml:space="preserve">Công nhân </v>
      </c>
      <c r="C500" s="421">
        <v>3</v>
      </c>
      <c r="D500" s="41"/>
    </row>
    <row r="501" spans="1:4" x14ac:dyDescent="0.25">
      <c r="A501" s="421" t="s">
        <v>376</v>
      </c>
      <c r="B501" s="410">
        <f>VLOOKUP($B498,'BANG LUONG 1'!$B$5:$AJ$56,4,0)</f>
        <v>42078</v>
      </c>
      <c r="C501" s="421">
        <v>4</v>
      </c>
      <c r="D501" s="41"/>
    </row>
    <row r="502" spans="1:4" x14ac:dyDescent="0.25">
      <c r="A502" s="421" t="s">
        <v>698</v>
      </c>
      <c r="B502" s="411">
        <f>VLOOKUP(B498,'BANG LUONG 1'!$B$5:$AJ$56,6,0)</f>
        <v>0.04</v>
      </c>
      <c r="C502" s="421">
        <v>5</v>
      </c>
      <c r="D502" s="41"/>
    </row>
    <row r="503" spans="1:4" x14ac:dyDescent="0.25">
      <c r="A503" s="421" t="s">
        <v>229</v>
      </c>
      <c r="B503" s="412">
        <f>'thang luong moi'!$F$5</f>
        <v>4012500</v>
      </c>
      <c r="C503" s="421">
        <v>6</v>
      </c>
      <c r="D503" s="41"/>
    </row>
    <row r="504" spans="1:4" x14ac:dyDescent="0.25">
      <c r="A504" s="421" t="s">
        <v>217</v>
      </c>
      <c r="B504" s="412" t="str">
        <f>VLOOKUP(B498,'BANG LUONG 1'!$B$5:$AJ$56,8,0)</f>
        <v>B.02</v>
      </c>
      <c r="C504" s="421">
        <v>7</v>
      </c>
      <c r="D504" s="41"/>
    </row>
    <row r="505" spans="1:4" x14ac:dyDescent="0.25">
      <c r="A505" s="421" t="s">
        <v>230</v>
      </c>
      <c r="B505" s="412">
        <f>VLOOKUP(B498,'BANG LUONG 1'!$B$5:$AJ$56,9,0)</f>
        <v>1</v>
      </c>
      <c r="C505" s="421">
        <v>8</v>
      </c>
      <c r="D505" s="41"/>
    </row>
    <row r="506" spans="1:4" x14ac:dyDescent="0.25">
      <c r="A506" s="421" t="s">
        <v>538</v>
      </c>
      <c r="B506" s="412">
        <f>VLOOKUP(B498,'BANG LUONG 1'!$B$5:$AJ$56,11,0)</f>
        <v>4413750</v>
      </c>
      <c r="C506" s="421">
        <v>9</v>
      </c>
      <c r="D506" s="41"/>
    </row>
    <row r="507" spans="1:4" x14ac:dyDescent="0.25">
      <c r="A507" s="421" t="s">
        <v>354</v>
      </c>
      <c r="B507" s="412">
        <f>VLOOKUP(B498,'BANG LUONG 1'!$B$5:$AJ$56,12,0)</f>
        <v>26</v>
      </c>
      <c r="C507" s="421">
        <v>10</v>
      </c>
      <c r="D507" s="41"/>
    </row>
    <row r="508" spans="1:4" x14ac:dyDescent="0.25">
      <c r="A508" s="421" t="s">
        <v>534</v>
      </c>
      <c r="B508" s="412">
        <f>VLOOKUP(B498,'BANG LUONG 1'!$B$5:$AJ$56,13,0)</f>
        <v>4413750</v>
      </c>
      <c r="C508" s="421">
        <v>11</v>
      </c>
      <c r="D508" s="41"/>
    </row>
    <row r="509" spans="1:4" x14ac:dyDescent="0.25">
      <c r="A509" s="421" t="s">
        <v>592</v>
      </c>
      <c r="B509" s="412">
        <f>VLOOKUP(B498,'BANG LUONG 1'!$B$5:$AJ$56,14,0)</f>
        <v>0</v>
      </c>
      <c r="C509" s="421">
        <v>12</v>
      </c>
      <c r="D509" s="41">
        <f>B506/26*B509</f>
        <v>0</v>
      </c>
    </row>
    <row r="510" spans="1:4" x14ac:dyDescent="0.25">
      <c r="A510" s="421" t="s">
        <v>357</v>
      </c>
      <c r="B510" s="412">
        <f>VLOOKUP(B498,'BANG LUONG 1'!$B$5:$AJ$56,15,0)</f>
        <v>69.5</v>
      </c>
      <c r="C510" s="421">
        <v>13</v>
      </c>
      <c r="D510" s="41">
        <f>B506/26/8*1.5*B510</f>
        <v>2212179.987980769</v>
      </c>
    </row>
    <row r="511" spans="1:4" x14ac:dyDescent="0.25">
      <c r="A511" s="421" t="s">
        <v>387</v>
      </c>
      <c r="B511" s="412">
        <f>VLOOKUP(B498,'BANG LUONG 1'!$B$5:$AJ$56,16,0)</f>
        <v>32</v>
      </c>
      <c r="C511" s="421">
        <v>14</v>
      </c>
      <c r="D511" s="41">
        <f>B506/26/8*2*B511</f>
        <v>1358076.923076923</v>
      </c>
    </row>
    <row r="512" spans="1:4" x14ac:dyDescent="0.25">
      <c r="A512" s="421" t="s">
        <v>593</v>
      </c>
      <c r="B512" s="412">
        <f>VLOOKUP(B498,'BANG LUONG 1'!$B$5:$AJ$56,17,0)</f>
        <v>1</v>
      </c>
      <c r="C512" s="421"/>
      <c r="D512" s="41">
        <f>(B506/26)*B512</f>
        <v>169759.61538461538</v>
      </c>
    </row>
    <row r="513" spans="1:5" x14ac:dyDescent="0.25">
      <c r="A513" s="421" t="s">
        <v>388</v>
      </c>
      <c r="B513" s="412">
        <f>VLOOKUP(B498,'BANG LUONG 1'!$B$5:$AJ$56,18,0)</f>
        <v>0</v>
      </c>
      <c r="C513" s="421">
        <v>15</v>
      </c>
      <c r="D513" s="41">
        <f>(B506/26*B513)*3</f>
        <v>0</v>
      </c>
    </row>
    <row r="514" spans="1:5" x14ac:dyDescent="0.25">
      <c r="A514" s="421" t="s">
        <v>533</v>
      </c>
      <c r="B514" s="412">
        <f>VLOOKUP(B498,'BANG LUONG 1'!$B$5:$AJ$56,19,0)</f>
        <v>8153766.526442307</v>
      </c>
      <c r="C514" s="183">
        <v>16</v>
      </c>
      <c r="D514" s="185">
        <f>B508+D510+D511+D509+D513+D512</f>
        <v>8153766.526442307</v>
      </c>
      <c r="E514" s="108"/>
    </row>
    <row r="515" spans="1:5" x14ac:dyDescent="0.25">
      <c r="A515" s="421" t="s">
        <v>535</v>
      </c>
      <c r="B515" s="412">
        <f>VLOOKUP(B498,'BANG LUONG 1'!$B$5:$AJ$56,20,0)</f>
        <v>6864655.0235478822</v>
      </c>
      <c r="C515" s="421">
        <v>17</v>
      </c>
      <c r="D515" s="41"/>
    </row>
    <row r="516" spans="1:5" x14ac:dyDescent="0.25">
      <c r="A516" s="421" t="s">
        <v>370</v>
      </c>
      <c r="B516" s="412">
        <f>VLOOKUP(B498,'BANG LUONG 1'!$B$5:$AJ$56,22,0)</f>
        <v>176550</v>
      </c>
      <c r="C516" s="421">
        <v>18</v>
      </c>
      <c r="D516" s="41"/>
    </row>
    <row r="517" spans="1:5" x14ac:dyDescent="0.25">
      <c r="A517" s="421" t="s">
        <v>371</v>
      </c>
      <c r="B517" s="412">
        <f>VLOOKUP(B498,'BANG LUONG 1'!$B$5:$AJ$56,23,0)</f>
        <v>300000</v>
      </c>
      <c r="C517" s="421">
        <v>19</v>
      </c>
      <c r="D517" s="41"/>
    </row>
    <row r="518" spans="1:5" x14ac:dyDescent="0.25">
      <c r="A518" s="421" t="s">
        <v>560</v>
      </c>
      <c r="B518" s="412">
        <f>VLOOKUP(B498,'BANG LUONG 1'!$B$5:$AJ$56,24,0)</f>
        <v>0</v>
      </c>
      <c r="C518" s="421">
        <v>22</v>
      </c>
      <c r="D518" s="41"/>
    </row>
    <row r="519" spans="1:5" x14ac:dyDescent="0.25">
      <c r="A519" s="183" t="s">
        <v>237</v>
      </c>
      <c r="B519" s="415">
        <f>VLOOKUP(B498,'BANG LUONG 1'!$B$5:$AJ$56,26,0)</f>
        <v>15494971.549990188</v>
      </c>
      <c r="C519" s="421">
        <v>24</v>
      </c>
      <c r="D519" s="41"/>
    </row>
    <row r="520" spans="1:5" x14ac:dyDescent="0.25">
      <c r="A520" s="421" t="s">
        <v>545</v>
      </c>
      <c r="B520" s="412">
        <f>VLOOKUP(B498,'BANG LUONG 1'!$B$5:$AJ$56,27,0)</f>
        <v>3000000</v>
      </c>
      <c r="C520" s="421">
        <v>25</v>
      </c>
      <c r="D520" s="41"/>
    </row>
    <row r="521" spans="1:5" x14ac:dyDescent="0.25">
      <c r="A521" s="421" t="s">
        <v>544</v>
      </c>
      <c r="B521" s="412">
        <f>VLOOKUP(B498,'BANG LUONG 1'!$B$5:$AJ$56,28,0)</f>
        <v>480585</v>
      </c>
      <c r="C521" s="421">
        <v>26</v>
      </c>
      <c r="D521" s="41"/>
    </row>
    <row r="522" spans="1:5" x14ac:dyDescent="0.25">
      <c r="A522" s="421" t="s">
        <v>712</v>
      </c>
      <c r="B522" s="415">
        <f>VLOOKUP(B498,'BANG LUONG 1'!$B$5:$AJ$56,32,0)</f>
        <v>0</v>
      </c>
      <c r="C522" s="421"/>
      <c r="D522" s="41"/>
    </row>
    <row r="523" spans="1:5" x14ac:dyDescent="0.25">
      <c r="A523" s="421" t="s">
        <v>713</v>
      </c>
      <c r="B523" s="415">
        <f>VLOOKUP(B498,'BANG LUONG 1'!$B$5:$AJ$56,33,0)</f>
        <v>308000</v>
      </c>
      <c r="C523" s="421"/>
      <c r="D523" s="41"/>
    </row>
    <row r="524" spans="1:5" x14ac:dyDescent="0.25">
      <c r="A524" s="183" t="s">
        <v>707</v>
      </c>
      <c r="B524" s="415">
        <f>VLOOKUP(B498,'BANG LUONG 1'!$B$5:$AJ$56,30,0)</f>
        <v>100000</v>
      </c>
      <c r="C524" s="421"/>
      <c r="D524" s="41"/>
      <c r="E524" s="108" t="str">
        <f>B499</f>
        <v>Quách Văn Chánh</v>
      </c>
    </row>
    <row r="525" spans="1:5" x14ac:dyDescent="0.25">
      <c r="A525" s="183" t="s">
        <v>546</v>
      </c>
      <c r="B525" s="415">
        <f>VLOOKUP(B498,'BANG LUONG 1'!$B$5:$AJ$56,35,0)</f>
        <v>12422000</v>
      </c>
      <c r="C525" s="421"/>
      <c r="D525" s="41"/>
    </row>
    <row r="526" spans="1:5" x14ac:dyDescent="0.25">
      <c r="A526" s="184" t="s">
        <v>549</v>
      </c>
      <c r="B526" s="424">
        <f>'BANG LUONG 1'!$P$3</f>
        <v>43733</v>
      </c>
    </row>
    <row r="527" spans="1:5" x14ac:dyDescent="0.25">
      <c r="A527" s="183" t="s">
        <v>1</v>
      </c>
      <c r="B527" s="185" t="s">
        <v>141</v>
      </c>
      <c r="C527" s="421">
        <v>1</v>
      </c>
      <c r="D527" s="41"/>
    </row>
    <row r="528" spans="1:5" x14ac:dyDescent="0.25">
      <c r="A528" s="183" t="s">
        <v>2</v>
      </c>
      <c r="B528" s="185" t="str">
        <f>VLOOKUP($B527,'BANG LUONG 1'!$B$6:$AB$51,C528,0)</f>
        <v>Trần văn Nguyện</v>
      </c>
      <c r="C528" s="421">
        <v>2</v>
      </c>
      <c r="D528" s="41"/>
    </row>
    <row r="529" spans="1:5" x14ac:dyDescent="0.25">
      <c r="A529" s="421" t="s">
        <v>3</v>
      </c>
      <c r="B529" s="41" t="str">
        <f>VLOOKUP($B527,'BANG LUONG 1'!$B$6:$AJ$51,C529,0)</f>
        <v>Công nhân  (TX )</v>
      </c>
      <c r="C529" s="421">
        <v>3</v>
      </c>
      <c r="D529" s="41"/>
    </row>
    <row r="530" spans="1:5" x14ac:dyDescent="0.25">
      <c r="A530" s="421" t="s">
        <v>376</v>
      </c>
      <c r="B530" s="410">
        <f>VLOOKUP($B527,'BANG LUONG 1'!$B$5:$AJ$56,4,0)</f>
        <v>42522</v>
      </c>
      <c r="C530" s="421">
        <v>4</v>
      </c>
      <c r="D530" s="41"/>
    </row>
    <row r="531" spans="1:5" x14ac:dyDescent="0.25">
      <c r="A531" s="421" t="s">
        <v>698</v>
      </c>
      <c r="B531" s="411">
        <f>VLOOKUP(B527,'BANG LUONG 1'!$B$5:$AJ$56,6,0)</f>
        <v>0.03</v>
      </c>
      <c r="C531" s="421">
        <v>5</v>
      </c>
      <c r="D531" s="41"/>
    </row>
    <row r="532" spans="1:5" x14ac:dyDescent="0.25">
      <c r="A532" s="421" t="s">
        <v>229</v>
      </c>
      <c r="B532" s="412">
        <f>'thang luong moi'!$F$5</f>
        <v>4012500</v>
      </c>
      <c r="C532" s="421">
        <v>6</v>
      </c>
      <c r="D532" s="41"/>
    </row>
    <row r="533" spans="1:5" x14ac:dyDescent="0.25">
      <c r="A533" s="421" t="s">
        <v>217</v>
      </c>
      <c r="B533" s="412" t="str">
        <f>VLOOKUP(B527,'BANG LUONG 1'!$B$5:$AJ$56,8,0)</f>
        <v>B.02</v>
      </c>
      <c r="C533" s="421">
        <v>7</v>
      </c>
      <c r="D533" s="41"/>
    </row>
    <row r="534" spans="1:5" x14ac:dyDescent="0.25">
      <c r="A534" s="421" t="s">
        <v>230</v>
      </c>
      <c r="B534" s="412">
        <f>VLOOKUP(B527,'BANG LUONG 1'!$B$5:$AJ$56,9,0)</f>
        <v>1</v>
      </c>
      <c r="C534" s="421">
        <v>8</v>
      </c>
      <c r="D534" s="41"/>
    </row>
    <row r="535" spans="1:5" x14ac:dyDescent="0.25">
      <c r="A535" s="421" t="s">
        <v>538</v>
      </c>
      <c r="B535" s="412">
        <f>VLOOKUP(B527,'BANG LUONG 1'!$B$5:$AJ$56,11,0)</f>
        <v>4413750</v>
      </c>
      <c r="C535" s="421">
        <v>9</v>
      </c>
      <c r="D535" s="41"/>
    </row>
    <row r="536" spans="1:5" x14ac:dyDescent="0.25">
      <c r="A536" s="421" t="s">
        <v>354</v>
      </c>
      <c r="B536" s="412">
        <f>VLOOKUP(B527,'BANG LUONG 1'!$B$5:$AJ$56,12,0)</f>
        <v>0</v>
      </c>
      <c r="C536" s="421">
        <v>10</v>
      </c>
      <c r="D536" s="41"/>
    </row>
    <row r="537" spans="1:5" x14ac:dyDescent="0.25">
      <c r="A537" s="421" t="s">
        <v>534</v>
      </c>
      <c r="B537" s="412">
        <f>VLOOKUP(B527,'BANG LUONG 1'!$B$5:$AJ$56,13,0)</f>
        <v>0</v>
      </c>
      <c r="C537" s="421">
        <v>11</v>
      </c>
      <c r="D537" s="41"/>
    </row>
    <row r="538" spans="1:5" x14ac:dyDescent="0.25">
      <c r="A538" s="421" t="s">
        <v>592</v>
      </c>
      <c r="B538" s="412">
        <f>VLOOKUP(B527,'BANG LUONG 1'!$B$5:$AJ$56,14,0)</f>
        <v>26</v>
      </c>
      <c r="C538" s="421">
        <v>12</v>
      </c>
      <c r="D538" s="41">
        <f>B535/26*B538</f>
        <v>4413750</v>
      </c>
    </row>
    <row r="539" spans="1:5" x14ac:dyDescent="0.25">
      <c r="A539" s="421" t="s">
        <v>357</v>
      </c>
      <c r="B539" s="412">
        <f>VLOOKUP(B527,'BANG LUONG 1'!$B$5:$AJ$56,15,0)</f>
        <v>0</v>
      </c>
      <c r="C539" s="421">
        <v>13</v>
      </c>
      <c r="D539" s="41">
        <f>B535/26/8*1.5*B539</f>
        <v>0</v>
      </c>
    </row>
    <row r="540" spans="1:5" x14ac:dyDescent="0.25">
      <c r="A540" s="421" t="s">
        <v>387</v>
      </c>
      <c r="B540" s="412">
        <f>VLOOKUP(B527,'BANG LUONG 1'!$B$5:$AJ$56,16,0)</f>
        <v>8</v>
      </c>
      <c r="C540" s="421">
        <v>14</v>
      </c>
      <c r="D540" s="41">
        <f>B535/26/8*2*B540</f>
        <v>339519.23076923075</v>
      </c>
    </row>
    <row r="541" spans="1:5" x14ac:dyDescent="0.25">
      <c r="A541" s="421" t="s">
        <v>593</v>
      </c>
      <c r="B541" s="412">
        <f>VLOOKUP(B527,'BANG LUONG 1'!$B$5:$AJ$56,17,0)</f>
        <v>1</v>
      </c>
      <c r="C541" s="421"/>
      <c r="D541" s="41">
        <f>(B535/26)*B541</f>
        <v>169759.61538461538</v>
      </c>
    </row>
    <row r="542" spans="1:5" x14ac:dyDescent="0.25">
      <c r="A542" s="421" t="s">
        <v>388</v>
      </c>
      <c r="B542" s="412">
        <f>VLOOKUP(B527,'BANG LUONG 1'!$B$5:$AJ$56,18,0)</f>
        <v>0</v>
      </c>
      <c r="C542" s="421">
        <v>15</v>
      </c>
      <c r="D542" s="41">
        <f>(B535/26*B542)*3</f>
        <v>0</v>
      </c>
    </row>
    <row r="543" spans="1:5" x14ac:dyDescent="0.25">
      <c r="A543" s="421" t="s">
        <v>533</v>
      </c>
      <c r="B543" s="412">
        <f>VLOOKUP(B527,'BANG LUONG 1'!$B$5:$AJ$56,19,0)</f>
        <v>4923028.846153846</v>
      </c>
      <c r="C543" s="183">
        <v>16</v>
      </c>
      <c r="D543" s="185">
        <f>B537+D539+D540+D538+D542+D541</f>
        <v>4923028.846153846</v>
      </c>
      <c r="E543" s="108"/>
    </row>
    <row r="544" spans="1:5" x14ac:dyDescent="0.25">
      <c r="A544" s="421" t="s">
        <v>535</v>
      </c>
      <c r="B544" s="412">
        <f>VLOOKUP(B527,'BANG LUONG 1'!$B$5:$AJ$56,20,0)</f>
        <v>0</v>
      </c>
      <c r="C544" s="421">
        <v>17</v>
      </c>
      <c r="D544" s="41"/>
    </row>
    <row r="545" spans="1:5" x14ac:dyDescent="0.25">
      <c r="A545" s="421" t="s">
        <v>370</v>
      </c>
      <c r="B545" s="412">
        <f>VLOOKUP(B527,'BANG LUONG 1'!$B$5:$AJ$56,22,0)</f>
        <v>132412.5</v>
      </c>
      <c r="C545" s="421">
        <v>18</v>
      </c>
      <c r="D545" s="41"/>
    </row>
    <row r="546" spans="1:5" x14ac:dyDescent="0.25">
      <c r="A546" s="421" t="s">
        <v>371</v>
      </c>
      <c r="B546" s="412">
        <f>VLOOKUP(B527,'BANG LUONG 1'!$B$5:$AJ$56,23,0)</f>
        <v>0</v>
      </c>
      <c r="C546" s="421">
        <v>19</v>
      </c>
      <c r="D546" s="41"/>
    </row>
    <row r="547" spans="1:5" x14ac:dyDescent="0.25">
      <c r="A547" s="421" t="s">
        <v>560</v>
      </c>
      <c r="B547" s="412">
        <f>VLOOKUP(B527,'BANG LUONG 1'!$B$5:$AJ$56,24,0)</f>
        <v>0</v>
      </c>
      <c r="C547" s="421">
        <v>22</v>
      </c>
      <c r="D547" s="41"/>
    </row>
    <row r="548" spans="1:5" x14ac:dyDescent="0.25">
      <c r="A548" s="183" t="s">
        <v>237</v>
      </c>
      <c r="B548" s="415">
        <f>VLOOKUP(B527,'BANG LUONG 1'!$B$5:$AJ$56,26,0)</f>
        <v>5055441.346153846</v>
      </c>
      <c r="C548" s="421">
        <v>24</v>
      </c>
      <c r="D548" s="41"/>
    </row>
    <row r="549" spans="1:5" x14ac:dyDescent="0.25">
      <c r="A549" s="421" t="s">
        <v>545</v>
      </c>
      <c r="B549" s="412">
        <f>VLOOKUP(B527,'BANG LUONG 1'!$B$5:$AJ$56,27,0)</f>
        <v>0</v>
      </c>
      <c r="C549" s="421">
        <v>25</v>
      </c>
      <c r="D549" s="41"/>
    </row>
    <row r="550" spans="1:5" x14ac:dyDescent="0.25">
      <c r="A550" s="421" t="s">
        <v>544</v>
      </c>
      <c r="B550" s="412">
        <f>VLOOKUP(B527,'BANG LUONG 1'!$B$5:$AJ$56,28,0)</f>
        <v>480585</v>
      </c>
      <c r="C550" s="421">
        <v>26</v>
      </c>
      <c r="D550" s="41"/>
    </row>
    <row r="551" spans="1:5" x14ac:dyDescent="0.25">
      <c r="A551" s="421" t="s">
        <v>712</v>
      </c>
      <c r="B551" s="415">
        <f>VLOOKUP(B527,'BANG LUONG 1'!$B$5:$AJ$56,32,0)</f>
        <v>0</v>
      </c>
      <c r="C551" s="421"/>
      <c r="D551" s="41"/>
    </row>
    <row r="552" spans="1:5" x14ac:dyDescent="0.25">
      <c r="A552" s="421" t="s">
        <v>713</v>
      </c>
      <c r="B552" s="415">
        <f>VLOOKUP(B527,'BANG LUONG 1'!$B$5:$AJ$56,33,0)</f>
        <v>0</v>
      </c>
      <c r="C552" s="421"/>
      <c r="D552" s="41"/>
    </row>
    <row r="553" spans="1:5" x14ac:dyDescent="0.25">
      <c r="A553" s="183" t="s">
        <v>707</v>
      </c>
      <c r="B553" s="415">
        <f>VLOOKUP(B527,'BANG LUONG 1'!$B$5:$AJ$56,30,0)</f>
        <v>100000</v>
      </c>
      <c r="C553" s="421"/>
      <c r="D553" s="41"/>
      <c r="E553" s="108" t="str">
        <f>B528</f>
        <v>Trần văn Nguyện</v>
      </c>
    </row>
    <row r="554" spans="1:5" x14ac:dyDescent="0.25">
      <c r="A554" s="183" t="s">
        <v>546</v>
      </c>
      <c r="B554" s="415">
        <f>VLOOKUP(B527,'BANG LUONG 1'!$B$5:$AJ$56,35,0)</f>
        <v>4675000</v>
      </c>
      <c r="C554" s="421"/>
      <c r="D554" s="41"/>
    </row>
    <row r="555" spans="1:5" x14ac:dyDescent="0.25">
      <c r="A555" s="184" t="s">
        <v>549</v>
      </c>
      <c r="B555" s="424">
        <f>'BANG LUONG 1'!$P$3</f>
        <v>43733</v>
      </c>
    </row>
    <row r="556" spans="1:5" x14ac:dyDescent="0.25">
      <c r="A556" s="183" t="s">
        <v>1</v>
      </c>
      <c r="B556" s="185" t="s">
        <v>142</v>
      </c>
      <c r="C556" s="421">
        <v>1</v>
      </c>
      <c r="D556" s="41"/>
    </row>
    <row r="557" spans="1:5" x14ac:dyDescent="0.25">
      <c r="A557" s="183" t="s">
        <v>2</v>
      </c>
      <c r="B557" s="185" t="str">
        <f>VLOOKUP($B556,'BANG LUONG 1'!$B$6:$AB$51,C557,0)</f>
        <v>Châu Văn Tâm</v>
      </c>
      <c r="C557" s="421">
        <v>2</v>
      </c>
      <c r="D557" s="41"/>
    </row>
    <row r="558" spans="1:5" x14ac:dyDescent="0.25">
      <c r="A558" s="421" t="s">
        <v>3</v>
      </c>
      <c r="B558" s="41" t="str">
        <f>VLOOKUP($B556,'BANG LUONG 1'!$B$6:$AJ$51,C558,0)</f>
        <v>Lái xe cơ giới</v>
      </c>
      <c r="C558" s="421">
        <v>3</v>
      </c>
      <c r="D558" s="41"/>
    </row>
    <row r="559" spans="1:5" x14ac:dyDescent="0.25">
      <c r="A559" s="421" t="s">
        <v>376</v>
      </c>
      <c r="B559" s="410">
        <f>VLOOKUP($B556,'BANG LUONG 1'!$B$5:$AJ$56,4,0)</f>
        <v>43248</v>
      </c>
      <c r="C559" s="421">
        <v>4</v>
      </c>
      <c r="D559" s="41"/>
    </row>
    <row r="560" spans="1:5" x14ac:dyDescent="0.25">
      <c r="A560" s="421" t="s">
        <v>698</v>
      </c>
      <c r="B560" s="411">
        <f>VLOOKUP(B556,'BANG LUONG 1'!$B$5:$AJ$56,6,0)</f>
        <v>0</v>
      </c>
      <c r="C560" s="421">
        <v>5</v>
      </c>
      <c r="D560" s="41"/>
    </row>
    <row r="561" spans="1:5" x14ac:dyDescent="0.25">
      <c r="A561" s="421" t="s">
        <v>229</v>
      </c>
      <c r="B561" s="412">
        <f>'thang luong moi'!$F$5</f>
        <v>4012500</v>
      </c>
      <c r="C561" s="421">
        <v>6</v>
      </c>
      <c r="D561" s="41"/>
    </row>
    <row r="562" spans="1:5" x14ac:dyDescent="0.25">
      <c r="A562" s="421" t="s">
        <v>217</v>
      </c>
      <c r="B562" s="412" t="str">
        <f>VLOOKUP(B556,'BANG LUONG 1'!$B$5:$AJ$56,8,0)</f>
        <v>B.02</v>
      </c>
      <c r="C562" s="421">
        <v>7</v>
      </c>
      <c r="D562" s="41"/>
    </row>
    <row r="563" spans="1:5" x14ac:dyDescent="0.25">
      <c r="A563" s="421" t="s">
        <v>230</v>
      </c>
      <c r="B563" s="412">
        <f>VLOOKUP(B556,'BANG LUONG 1'!$B$5:$AJ$56,9,0)</f>
        <v>1</v>
      </c>
      <c r="C563" s="421">
        <v>8</v>
      </c>
      <c r="D563" s="41"/>
    </row>
    <row r="564" spans="1:5" x14ac:dyDescent="0.25">
      <c r="A564" s="421" t="s">
        <v>538</v>
      </c>
      <c r="B564" s="412">
        <f>VLOOKUP(B556,'BANG LUONG 1'!$B$5:$AJ$56,11,0)</f>
        <v>4413750</v>
      </c>
      <c r="C564" s="421">
        <v>9</v>
      </c>
      <c r="D564" s="41"/>
    </row>
    <row r="565" spans="1:5" x14ac:dyDescent="0.25">
      <c r="A565" s="421" t="s">
        <v>354</v>
      </c>
      <c r="B565" s="412">
        <f>VLOOKUP(B556,'BANG LUONG 1'!$B$5:$AJ$56,12,0)</f>
        <v>26</v>
      </c>
      <c r="C565" s="421">
        <v>10</v>
      </c>
      <c r="D565" s="41"/>
    </row>
    <row r="566" spans="1:5" x14ac:dyDescent="0.25">
      <c r="A566" s="421" t="s">
        <v>534</v>
      </c>
      <c r="B566" s="412">
        <f>VLOOKUP(B556,'BANG LUONG 1'!$B$5:$AJ$56,13,0)</f>
        <v>4413750</v>
      </c>
      <c r="C566" s="421">
        <v>11</v>
      </c>
      <c r="D566" s="41"/>
    </row>
    <row r="567" spans="1:5" x14ac:dyDescent="0.25">
      <c r="A567" s="421" t="s">
        <v>592</v>
      </c>
      <c r="B567" s="412">
        <f>VLOOKUP(B556,'BANG LUONG 1'!$B$5:$AJ$56,14,0)</f>
        <v>0</v>
      </c>
      <c r="C567" s="421">
        <v>12</v>
      </c>
      <c r="D567" s="41">
        <f>B564/26*B567</f>
        <v>0</v>
      </c>
    </row>
    <row r="568" spans="1:5" x14ac:dyDescent="0.25">
      <c r="A568" s="421" t="s">
        <v>357</v>
      </c>
      <c r="B568" s="412">
        <f>VLOOKUP(B556,'BANG LUONG 1'!$B$5:$AJ$56,15,0)</f>
        <v>78</v>
      </c>
      <c r="C568" s="421">
        <v>13</v>
      </c>
      <c r="D568" s="41">
        <f>B564/26/8*1.5*B568</f>
        <v>2482734.375</v>
      </c>
    </row>
    <row r="569" spans="1:5" x14ac:dyDescent="0.25">
      <c r="A569" s="421" t="s">
        <v>387</v>
      </c>
      <c r="B569" s="412">
        <f>VLOOKUP(B556,'BANG LUONG 1'!$B$5:$AJ$56,16,0)</f>
        <v>16</v>
      </c>
      <c r="C569" s="421">
        <v>14</v>
      </c>
      <c r="D569" s="41">
        <f>B564/26/8*2*B569</f>
        <v>679038.4615384615</v>
      </c>
    </row>
    <row r="570" spans="1:5" x14ac:dyDescent="0.25">
      <c r="A570" s="421" t="s">
        <v>593</v>
      </c>
      <c r="B570" s="412">
        <f>VLOOKUP(B556,'BANG LUONG 1'!$B$5:$AJ$56,17,0)</f>
        <v>1</v>
      </c>
      <c r="C570" s="421"/>
      <c r="D570" s="41">
        <f>(B564/26)*B570</f>
        <v>169759.61538461538</v>
      </c>
    </row>
    <row r="571" spans="1:5" x14ac:dyDescent="0.25">
      <c r="A571" s="421" t="s">
        <v>388</v>
      </c>
      <c r="B571" s="412">
        <f>VLOOKUP(B556,'BANG LUONG 1'!$B$5:$AJ$56,18,0)</f>
        <v>0</v>
      </c>
      <c r="C571" s="421">
        <v>15</v>
      </c>
      <c r="D571" s="41">
        <f>(B564/26*B571)*3</f>
        <v>0</v>
      </c>
    </row>
    <row r="572" spans="1:5" x14ac:dyDescent="0.25">
      <c r="A572" s="421" t="s">
        <v>533</v>
      </c>
      <c r="B572" s="412">
        <f>VLOOKUP(B556,'BANG LUONG 1'!$B$5:$AJ$56,19,0)</f>
        <v>7745282.451923077</v>
      </c>
      <c r="C572" s="183">
        <v>16</v>
      </c>
      <c r="D572" s="185">
        <f>B566+D568+D569+D567+D571+D570</f>
        <v>7745282.451923077</v>
      </c>
      <c r="E572" s="108"/>
    </row>
    <row r="573" spans="1:5" x14ac:dyDescent="0.25">
      <c r="A573" s="421" t="s">
        <v>535</v>
      </c>
      <c r="B573" s="412">
        <f>VLOOKUP(B556,'BANG LUONG 1'!$B$5:$AJ$56,20,0)</f>
        <v>5859807.2998430151</v>
      </c>
      <c r="C573" s="421">
        <v>17</v>
      </c>
      <c r="D573" s="41"/>
    </row>
    <row r="574" spans="1:5" x14ac:dyDescent="0.25">
      <c r="A574" s="421" t="s">
        <v>370</v>
      </c>
      <c r="B574" s="412">
        <f>VLOOKUP(B556,'BANG LUONG 1'!$B$5:$AJ$56,22,0)</f>
        <v>0</v>
      </c>
      <c r="C574" s="421">
        <v>18</v>
      </c>
      <c r="D574" s="41"/>
    </row>
    <row r="575" spans="1:5" x14ac:dyDescent="0.25">
      <c r="A575" s="421" t="s">
        <v>371</v>
      </c>
      <c r="B575" s="412">
        <f>VLOOKUP(B556,'BANG LUONG 1'!$B$5:$AJ$56,23,0)</f>
        <v>300000</v>
      </c>
      <c r="C575" s="421">
        <v>19</v>
      </c>
      <c r="D575" s="41"/>
    </row>
    <row r="576" spans="1:5" x14ac:dyDescent="0.25">
      <c r="A576" s="421" t="s">
        <v>560</v>
      </c>
      <c r="B576" s="412">
        <f>VLOOKUP(B556,'BANG LUONG 1'!$B$5:$AJ$56,24,0)</f>
        <v>0</v>
      </c>
      <c r="C576" s="421">
        <v>22</v>
      </c>
      <c r="D576" s="41"/>
    </row>
    <row r="577" spans="1:5" x14ac:dyDescent="0.25">
      <c r="A577" s="183" t="s">
        <v>237</v>
      </c>
      <c r="B577" s="415">
        <f>VLOOKUP(B556,'BANG LUONG 1'!$B$5:$AJ$56,26,0)</f>
        <v>13905089.751766093</v>
      </c>
      <c r="C577" s="421">
        <v>24</v>
      </c>
      <c r="D577" s="41"/>
    </row>
    <row r="578" spans="1:5" x14ac:dyDescent="0.25">
      <c r="A578" s="421" t="s">
        <v>545</v>
      </c>
      <c r="B578" s="412">
        <f>VLOOKUP(B556,'BANG LUONG 1'!$B$5:$AJ$56,27,0)</f>
        <v>4000000</v>
      </c>
      <c r="C578" s="421">
        <v>25</v>
      </c>
      <c r="D578" s="41"/>
    </row>
    <row r="579" spans="1:5" x14ac:dyDescent="0.25">
      <c r="A579" s="421" t="s">
        <v>544</v>
      </c>
      <c r="B579" s="412">
        <f>VLOOKUP(B556,'BANG LUONG 1'!$B$5:$AJ$56,28,0)</f>
        <v>480585</v>
      </c>
      <c r="C579" s="421">
        <v>26</v>
      </c>
      <c r="D579" s="41"/>
    </row>
    <row r="580" spans="1:5" x14ac:dyDescent="0.25">
      <c r="A580" s="421" t="s">
        <v>712</v>
      </c>
      <c r="B580" s="415">
        <f>VLOOKUP(B556,'BANG LUONG 1'!$B$5:$AJ$56,32,0)</f>
        <v>0</v>
      </c>
      <c r="C580" s="421"/>
      <c r="D580" s="41"/>
    </row>
    <row r="581" spans="1:5" x14ac:dyDescent="0.25">
      <c r="A581" s="421" t="s">
        <v>713</v>
      </c>
      <c r="B581" s="415">
        <f>VLOOKUP(B556,'BANG LUONG 1'!$B$5:$AJ$56,33,0)</f>
        <v>396000</v>
      </c>
      <c r="C581" s="421"/>
      <c r="D581" s="41"/>
    </row>
    <row r="582" spans="1:5" x14ac:dyDescent="0.25">
      <c r="A582" s="183" t="s">
        <v>707</v>
      </c>
      <c r="B582" s="415">
        <f>VLOOKUP(B556,'BANG LUONG 1'!$B$5:$AJ$56,30,0)</f>
        <v>100000</v>
      </c>
      <c r="C582" s="421"/>
      <c r="D582" s="41"/>
      <c r="E582" s="108" t="str">
        <f>B557</f>
        <v>Châu Văn Tâm</v>
      </c>
    </row>
    <row r="583" spans="1:5" x14ac:dyDescent="0.25">
      <c r="A583" s="183" t="s">
        <v>546</v>
      </c>
      <c r="B583" s="415">
        <f>VLOOKUP(B556,'BANG LUONG 1'!$B$5:$AJ$56,35,0)</f>
        <v>9921000</v>
      </c>
      <c r="C583" s="421"/>
      <c r="D583" s="41"/>
    </row>
    <row r="584" spans="1:5" x14ac:dyDescent="0.25">
      <c r="A584" s="184" t="s">
        <v>549</v>
      </c>
      <c r="B584" s="424">
        <f>'BANG LUONG 1'!$P$3</f>
        <v>43733</v>
      </c>
    </row>
    <row r="585" spans="1:5" x14ac:dyDescent="0.25">
      <c r="A585" s="183" t="s">
        <v>1</v>
      </c>
      <c r="B585" s="185" t="s">
        <v>143</v>
      </c>
      <c r="C585" s="421">
        <v>1</v>
      </c>
      <c r="D585" s="41"/>
    </row>
    <row r="586" spans="1:5" x14ac:dyDescent="0.25">
      <c r="A586" s="183" t="s">
        <v>2</v>
      </c>
      <c r="B586" s="185" t="str">
        <f>VLOOKUP($B585,'BANG LUONG 1'!$B$6:$AB$51,C586,0)</f>
        <v>Trần Ngọc Sơn</v>
      </c>
      <c r="C586" s="421">
        <v>2</v>
      </c>
      <c r="D586" s="41"/>
    </row>
    <row r="587" spans="1:5" x14ac:dyDescent="0.25">
      <c r="A587" s="421" t="s">
        <v>3</v>
      </c>
      <c r="B587" s="41" t="str">
        <f>VLOOKUP($B585,'BANG LUONG 1'!$B$6:$AJ$51,C587,0)</f>
        <v>Lái xe cơ giới</v>
      </c>
      <c r="C587" s="421">
        <v>3</v>
      </c>
      <c r="D587" s="41"/>
    </row>
    <row r="588" spans="1:5" x14ac:dyDescent="0.25">
      <c r="A588" s="421" t="s">
        <v>376</v>
      </c>
      <c r="B588" s="410">
        <f>VLOOKUP($B585,'BANG LUONG 1'!$B$5:$AJ$56,4,0)</f>
        <v>43248</v>
      </c>
      <c r="C588" s="421">
        <v>4</v>
      </c>
      <c r="D588" s="41"/>
    </row>
    <row r="589" spans="1:5" x14ac:dyDescent="0.25">
      <c r="A589" s="421" t="s">
        <v>698</v>
      </c>
      <c r="B589" s="411">
        <f>VLOOKUP(B585,'BANG LUONG 1'!$B$5:$AJ$56,6,0)</f>
        <v>0</v>
      </c>
      <c r="C589" s="421">
        <v>5</v>
      </c>
      <c r="D589" s="41"/>
    </row>
    <row r="590" spans="1:5" x14ac:dyDescent="0.25">
      <c r="A590" s="421" t="s">
        <v>229</v>
      </c>
      <c r="B590" s="412">
        <f>'thang luong moi'!$F$5</f>
        <v>4012500</v>
      </c>
      <c r="C590" s="421">
        <v>6</v>
      </c>
      <c r="D590" s="41"/>
    </row>
    <row r="591" spans="1:5" x14ac:dyDescent="0.25">
      <c r="A591" s="421" t="s">
        <v>217</v>
      </c>
      <c r="B591" s="412" t="str">
        <f>VLOOKUP(B585,'BANG LUONG 1'!$B$5:$AJ$56,8,0)</f>
        <v>B.02</v>
      </c>
      <c r="C591" s="421">
        <v>7</v>
      </c>
      <c r="D591" s="41"/>
    </row>
    <row r="592" spans="1:5" x14ac:dyDescent="0.25">
      <c r="A592" s="421" t="s">
        <v>230</v>
      </c>
      <c r="B592" s="412">
        <f>VLOOKUP(B585,'BANG LUONG 1'!$B$5:$AJ$56,9,0)</f>
        <v>1</v>
      </c>
      <c r="C592" s="421">
        <v>8</v>
      </c>
      <c r="D592" s="41"/>
    </row>
    <row r="593" spans="1:5" x14ac:dyDescent="0.25">
      <c r="A593" s="421" t="s">
        <v>538</v>
      </c>
      <c r="B593" s="412">
        <f>VLOOKUP(B585,'BANG LUONG 1'!$B$5:$AJ$56,11,0)</f>
        <v>4413750</v>
      </c>
      <c r="C593" s="421">
        <v>9</v>
      </c>
      <c r="D593" s="41"/>
    </row>
    <row r="594" spans="1:5" x14ac:dyDescent="0.25">
      <c r="A594" s="421" t="s">
        <v>354</v>
      </c>
      <c r="B594" s="412">
        <f>VLOOKUP(B585,'BANG LUONG 1'!$B$5:$AJ$56,12,0)</f>
        <v>26</v>
      </c>
      <c r="C594" s="421">
        <v>10</v>
      </c>
      <c r="D594" s="41"/>
    </row>
    <row r="595" spans="1:5" x14ac:dyDescent="0.25">
      <c r="A595" s="421" t="s">
        <v>534</v>
      </c>
      <c r="B595" s="412">
        <f>VLOOKUP(B585,'BANG LUONG 1'!$B$5:$AJ$56,13,0)</f>
        <v>4413750</v>
      </c>
      <c r="C595" s="421">
        <v>11</v>
      </c>
      <c r="D595" s="41"/>
    </row>
    <row r="596" spans="1:5" x14ac:dyDescent="0.25">
      <c r="A596" s="421" t="s">
        <v>592</v>
      </c>
      <c r="B596" s="412">
        <f>VLOOKUP(B585,'BANG LUONG 1'!$B$5:$AJ$56,14,0)</f>
        <v>0</v>
      </c>
      <c r="C596" s="421">
        <v>12</v>
      </c>
      <c r="D596" s="41">
        <f>B593/26*B596</f>
        <v>0</v>
      </c>
    </row>
    <row r="597" spans="1:5" x14ac:dyDescent="0.25">
      <c r="A597" s="421" t="s">
        <v>357</v>
      </c>
      <c r="B597" s="412">
        <f>VLOOKUP(B585,'BANG LUONG 1'!$B$5:$AJ$56,15,0)</f>
        <v>30.5</v>
      </c>
      <c r="C597" s="421">
        <v>13</v>
      </c>
      <c r="D597" s="41">
        <f>B593/26/8*1.5*B597</f>
        <v>970812.80048076913</v>
      </c>
    </row>
    <row r="598" spans="1:5" x14ac:dyDescent="0.25">
      <c r="A598" s="421" t="s">
        <v>387</v>
      </c>
      <c r="B598" s="412">
        <f>VLOOKUP(B585,'BANG LUONG 1'!$B$5:$AJ$56,16,0)</f>
        <v>24</v>
      </c>
      <c r="C598" s="421">
        <v>14</v>
      </c>
      <c r="D598" s="41">
        <f>B593/26/8*2*B598</f>
        <v>1018557.6923076923</v>
      </c>
    </row>
    <row r="599" spans="1:5" x14ac:dyDescent="0.25">
      <c r="A599" s="421" t="s">
        <v>593</v>
      </c>
      <c r="B599" s="412">
        <f>VLOOKUP(B585,'BANG LUONG 1'!$B$5:$AJ$56,17,0)</f>
        <v>1</v>
      </c>
      <c r="C599" s="421"/>
      <c r="D599" s="41">
        <f>(B593/26)*B599</f>
        <v>169759.61538461538</v>
      </c>
    </row>
    <row r="600" spans="1:5" x14ac:dyDescent="0.25">
      <c r="A600" s="421" t="s">
        <v>388</v>
      </c>
      <c r="B600" s="412">
        <f>VLOOKUP(B585,'BANG LUONG 1'!$B$5:$AJ$56,18,0)</f>
        <v>0</v>
      </c>
      <c r="C600" s="421">
        <v>15</v>
      </c>
      <c r="D600" s="41">
        <f>(B593/26*B600)*3</f>
        <v>0</v>
      </c>
    </row>
    <row r="601" spans="1:5" x14ac:dyDescent="0.25">
      <c r="A601" s="421" t="s">
        <v>533</v>
      </c>
      <c r="B601" s="412">
        <f>VLOOKUP(B585,'BANG LUONG 1'!$B$5:$AJ$56,19,0)</f>
        <v>6572880.1081730761</v>
      </c>
      <c r="C601" s="183">
        <v>16</v>
      </c>
      <c r="D601" s="185">
        <f>B595+D597+D598+D596+D600+D599</f>
        <v>6572880.1081730761</v>
      </c>
      <c r="E601" s="108"/>
    </row>
    <row r="602" spans="1:5" x14ac:dyDescent="0.25">
      <c r="A602" s="421" t="s">
        <v>535</v>
      </c>
      <c r="B602" s="412">
        <f>VLOOKUP(B585,'BANG LUONG 1'!$B$5:$AJ$56,20,0)</f>
        <v>1521228.0219780235</v>
      </c>
      <c r="C602" s="421">
        <v>17</v>
      </c>
      <c r="D602" s="41"/>
    </row>
    <row r="603" spans="1:5" x14ac:dyDescent="0.25">
      <c r="A603" s="421" t="s">
        <v>370</v>
      </c>
      <c r="B603" s="412">
        <f>VLOOKUP(B585,'BANG LUONG 1'!$B$5:$AJ$56,22,0)</f>
        <v>0</v>
      </c>
      <c r="C603" s="421">
        <v>18</v>
      </c>
      <c r="D603" s="41"/>
    </row>
    <row r="604" spans="1:5" x14ac:dyDescent="0.25">
      <c r="A604" s="421" t="s">
        <v>371</v>
      </c>
      <c r="B604" s="412">
        <f>VLOOKUP(B585,'BANG LUONG 1'!$B$5:$AJ$56,23,0)</f>
        <v>300000</v>
      </c>
      <c r="C604" s="421">
        <v>19</v>
      </c>
      <c r="D604" s="41"/>
    </row>
    <row r="605" spans="1:5" x14ac:dyDescent="0.25">
      <c r="A605" s="421" t="s">
        <v>560</v>
      </c>
      <c r="B605" s="412">
        <f>VLOOKUP(B585,'BANG LUONG 1'!$B$5:$AJ$56,24,0)</f>
        <v>0</v>
      </c>
      <c r="C605" s="421">
        <v>22</v>
      </c>
      <c r="D605" s="41"/>
    </row>
    <row r="606" spans="1:5" x14ac:dyDescent="0.25">
      <c r="A606" s="183" t="s">
        <v>237</v>
      </c>
      <c r="B606" s="415">
        <f>VLOOKUP(B585,'BANG LUONG 1'!$B$5:$AJ$56,26,0)</f>
        <v>8394108.1301511005</v>
      </c>
      <c r="C606" s="421">
        <v>24</v>
      </c>
      <c r="D606" s="41"/>
    </row>
    <row r="607" spans="1:5" x14ac:dyDescent="0.25">
      <c r="A607" s="421" t="s">
        <v>545</v>
      </c>
      <c r="B607" s="412">
        <f>VLOOKUP(B585,'BANG LUONG 1'!$B$5:$AJ$56,27,0)</f>
        <v>3000000</v>
      </c>
      <c r="C607" s="421">
        <v>25</v>
      </c>
      <c r="D607" s="41"/>
    </row>
    <row r="608" spans="1:5" x14ac:dyDescent="0.25">
      <c r="A608" s="421" t="s">
        <v>544</v>
      </c>
      <c r="B608" s="412">
        <f>VLOOKUP(B585,'BANG LUONG 1'!$B$5:$AJ$56,28,0)</f>
        <v>480585</v>
      </c>
      <c r="C608" s="421">
        <v>26</v>
      </c>
      <c r="D608" s="41"/>
    </row>
    <row r="609" spans="1:5" x14ac:dyDescent="0.25">
      <c r="A609" s="421" t="s">
        <v>712</v>
      </c>
      <c r="B609" s="415">
        <f>VLOOKUP(B585,'BANG LUONG 1'!$B$5:$AJ$56,32,0)</f>
        <v>0</v>
      </c>
      <c r="C609" s="421"/>
      <c r="D609" s="41"/>
    </row>
    <row r="610" spans="1:5" x14ac:dyDescent="0.25">
      <c r="A610" s="421" t="s">
        <v>713</v>
      </c>
      <c r="B610" s="415">
        <f>VLOOKUP(B585,'BANG LUONG 1'!$B$5:$AJ$56,33,0)</f>
        <v>110000</v>
      </c>
      <c r="C610" s="421"/>
      <c r="D610" s="41"/>
    </row>
    <row r="611" spans="1:5" x14ac:dyDescent="0.25">
      <c r="A611" s="183" t="s">
        <v>707</v>
      </c>
      <c r="B611" s="415">
        <f>VLOOKUP(B585,'BANG LUONG 1'!$B$5:$AJ$56,30,0)</f>
        <v>100000</v>
      </c>
      <c r="C611" s="421"/>
      <c r="D611" s="41"/>
      <c r="E611" s="108" t="str">
        <f>B586</f>
        <v>Trần Ngọc Sơn</v>
      </c>
    </row>
    <row r="612" spans="1:5" x14ac:dyDescent="0.25">
      <c r="A612" s="183" t="s">
        <v>546</v>
      </c>
      <c r="B612" s="415">
        <f>VLOOKUP(B585,'BANG LUONG 1'!$B$5:$AJ$56,35,0)</f>
        <v>5124000</v>
      </c>
      <c r="C612" s="421"/>
      <c r="D612" s="41"/>
    </row>
    <row r="613" spans="1:5" x14ac:dyDescent="0.25">
      <c r="A613" s="184" t="s">
        <v>549</v>
      </c>
      <c r="B613" s="424">
        <f>'BANG LUONG 1'!$P$3</f>
        <v>43733</v>
      </c>
    </row>
    <row r="614" spans="1:5" x14ac:dyDescent="0.25">
      <c r="A614" s="183" t="s">
        <v>1</v>
      </c>
      <c r="B614" s="185" t="s">
        <v>144</v>
      </c>
      <c r="C614" s="421">
        <v>1</v>
      </c>
      <c r="D614" s="41"/>
    </row>
    <row r="615" spans="1:5" x14ac:dyDescent="0.25">
      <c r="A615" s="183" t="s">
        <v>2</v>
      </c>
      <c r="B615" s="185" t="str">
        <f>VLOOKUP($B614,'BANG LUONG 1'!$B$6:$AB$51,C615,0)</f>
        <v>Nguyễn Văn Tuấn</v>
      </c>
      <c r="C615" s="421">
        <v>2</v>
      </c>
      <c r="D615" s="41"/>
    </row>
    <row r="616" spans="1:5" x14ac:dyDescent="0.25">
      <c r="A616" s="421" t="s">
        <v>3</v>
      </c>
      <c r="B616" s="41" t="str">
        <f>VLOOKUP($B614,'BANG LUONG 1'!$B$6:$AJ$51,C616,0)</f>
        <v>Lái xe cơ giới</v>
      </c>
      <c r="C616" s="421">
        <v>3</v>
      </c>
      <c r="D616" s="41"/>
    </row>
    <row r="617" spans="1:5" x14ac:dyDescent="0.25">
      <c r="A617" s="421" t="s">
        <v>376</v>
      </c>
      <c r="B617" s="410">
        <f>VLOOKUP($B614,'BANG LUONG 1'!$B$5:$AJ$56,4,0)</f>
        <v>43246</v>
      </c>
      <c r="C617" s="421">
        <v>4</v>
      </c>
      <c r="D617" s="41"/>
    </row>
    <row r="618" spans="1:5" x14ac:dyDescent="0.25">
      <c r="A618" s="421" t="s">
        <v>698</v>
      </c>
      <c r="B618" s="411">
        <f>VLOOKUP(B614,'BANG LUONG 1'!$B$5:$AJ$56,6,0)</f>
        <v>0</v>
      </c>
      <c r="C618" s="421">
        <v>5</v>
      </c>
      <c r="D618" s="41"/>
    </row>
    <row r="619" spans="1:5" x14ac:dyDescent="0.25">
      <c r="A619" s="421" t="s">
        <v>229</v>
      </c>
      <c r="B619" s="412">
        <f>'thang luong moi'!$F$5</f>
        <v>4012500</v>
      </c>
      <c r="C619" s="421">
        <v>6</v>
      </c>
      <c r="D619" s="41"/>
    </row>
    <row r="620" spans="1:5" x14ac:dyDescent="0.25">
      <c r="A620" s="421" t="s">
        <v>217</v>
      </c>
      <c r="B620" s="412" t="str">
        <f>VLOOKUP(B614,'BANG LUONG 1'!$B$5:$AJ$56,8,0)</f>
        <v>B.02</v>
      </c>
      <c r="C620" s="421">
        <v>7</v>
      </c>
      <c r="D620" s="41"/>
    </row>
    <row r="621" spans="1:5" x14ac:dyDescent="0.25">
      <c r="A621" s="421" t="s">
        <v>230</v>
      </c>
      <c r="B621" s="412">
        <f>VLOOKUP(B614,'BANG LUONG 1'!$B$5:$AJ$56,9,0)</f>
        <v>1</v>
      </c>
      <c r="C621" s="421">
        <v>8</v>
      </c>
      <c r="D621" s="41"/>
    </row>
    <row r="622" spans="1:5" x14ac:dyDescent="0.25">
      <c r="A622" s="421" t="s">
        <v>538</v>
      </c>
      <c r="B622" s="412">
        <f>VLOOKUP(B614,'BANG LUONG 1'!$B$5:$AJ$56,11,0)</f>
        <v>4413750</v>
      </c>
      <c r="C622" s="421">
        <v>9</v>
      </c>
      <c r="D622" s="41"/>
    </row>
    <row r="623" spans="1:5" x14ac:dyDescent="0.25">
      <c r="A623" s="421" t="s">
        <v>354</v>
      </c>
      <c r="B623" s="412">
        <f>VLOOKUP(B614,'BANG LUONG 1'!$B$5:$AJ$56,12,0)</f>
        <v>22</v>
      </c>
      <c r="C623" s="421">
        <v>10</v>
      </c>
      <c r="D623" s="41"/>
    </row>
    <row r="624" spans="1:5" x14ac:dyDescent="0.25">
      <c r="A624" s="421" t="s">
        <v>534</v>
      </c>
      <c r="B624" s="412">
        <f>VLOOKUP(B614,'BANG LUONG 1'!$B$5:$AJ$56,13,0)</f>
        <v>3734711.538461538</v>
      </c>
      <c r="C624" s="421">
        <v>11</v>
      </c>
      <c r="D624" s="41"/>
    </row>
    <row r="625" spans="1:5" x14ac:dyDescent="0.25">
      <c r="A625" s="421" t="s">
        <v>592</v>
      </c>
      <c r="B625" s="412">
        <f>VLOOKUP(B614,'BANG LUONG 1'!$B$5:$AJ$56,14,0)</f>
        <v>4</v>
      </c>
      <c r="C625" s="421">
        <v>12</v>
      </c>
      <c r="D625" s="41">
        <f>B622/26*B625</f>
        <v>679038.4615384615</v>
      </c>
    </row>
    <row r="626" spans="1:5" x14ac:dyDescent="0.25">
      <c r="A626" s="421" t="s">
        <v>357</v>
      </c>
      <c r="B626" s="412">
        <f>VLOOKUP(B614,'BANG LUONG 1'!$B$5:$AJ$56,15,0)</f>
        <v>40.650000000000006</v>
      </c>
      <c r="C626" s="421">
        <v>13</v>
      </c>
      <c r="D626" s="41">
        <f>B622/26/8*1.5*B626</f>
        <v>1293886.5685096155</v>
      </c>
    </row>
    <row r="627" spans="1:5" x14ac:dyDescent="0.25">
      <c r="A627" s="421" t="s">
        <v>387</v>
      </c>
      <c r="B627" s="412">
        <f>VLOOKUP(B614,'BANG LUONG 1'!$B$5:$AJ$56,16,0)</f>
        <v>24</v>
      </c>
      <c r="C627" s="421">
        <v>14</v>
      </c>
      <c r="D627" s="41">
        <f>B622/26/8*2*B627</f>
        <v>1018557.6923076923</v>
      </c>
    </row>
    <row r="628" spans="1:5" x14ac:dyDescent="0.25">
      <c r="A628" s="421" t="s">
        <v>593</v>
      </c>
      <c r="B628" s="412">
        <f>VLOOKUP(B614,'BANG LUONG 1'!$B$5:$AJ$56,17,0)</f>
        <v>1</v>
      </c>
      <c r="C628" s="421"/>
      <c r="D628" s="41">
        <f>(B622/26)*B628</f>
        <v>169759.61538461538</v>
      </c>
    </row>
    <row r="629" spans="1:5" x14ac:dyDescent="0.25">
      <c r="A629" s="421" t="s">
        <v>388</v>
      </c>
      <c r="B629" s="412">
        <f>VLOOKUP(B614,'BANG LUONG 1'!$B$5:$AJ$56,18,0)</f>
        <v>0</v>
      </c>
      <c r="C629" s="421">
        <v>15</v>
      </c>
      <c r="D629" s="41">
        <f>(B622/26*B629)*3</f>
        <v>0</v>
      </c>
    </row>
    <row r="630" spans="1:5" x14ac:dyDescent="0.25">
      <c r="A630" s="421" t="s">
        <v>533</v>
      </c>
      <c r="B630" s="412">
        <f>VLOOKUP(B614,'BANG LUONG 1'!$B$5:$AJ$56,19,0)</f>
        <v>6895953.876201923</v>
      </c>
      <c r="C630" s="183">
        <v>16</v>
      </c>
      <c r="D630" s="185">
        <f>B624+D626+D627+D625+D629+D628</f>
        <v>6895953.876201923</v>
      </c>
      <c r="E630" s="108"/>
    </row>
    <row r="631" spans="1:5" x14ac:dyDescent="0.25">
      <c r="A631" s="421" t="s">
        <v>535</v>
      </c>
      <c r="B631" s="412">
        <f>VLOOKUP(B614,'BANG LUONG 1'!$B$5:$AJ$56,20,0)</f>
        <v>119693.48508634325</v>
      </c>
      <c r="C631" s="421">
        <v>17</v>
      </c>
      <c r="D631" s="41"/>
    </row>
    <row r="632" spans="1:5" x14ac:dyDescent="0.25">
      <c r="A632" s="421" t="s">
        <v>370</v>
      </c>
      <c r="B632" s="412">
        <f>VLOOKUP(B614,'BANG LUONG 1'!$B$5:$AJ$56,22,0)</f>
        <v>0</v>
      </c>
      <c r="C632" s="421">
        <v>18</v>
      </c>
      <c r="D632" s="41"/>
    </row>
    <row r="633" spans="1:5" x14ac:dyDescent="0.25">
      <c r="A633" s="421" t="s">
        <v>371</v>
      </c>
      <c r="B633" s="412">
        <f>VLOOKUP(B614,'BANG LUONG 1'!$B$5:$AJ$56,23,0)</f>
        <v>75000</v>
      </c>
      <c r="C633" s="421">
        <v>19</v>
      </c>
      <c r="D633" s="41"/>
    </row>
    <row r="634" spans="1:5" x14ac:dyDescent="0.25">
      <c r="A634" s="421" t="s">
        <v>560</v>
      </c>
      <c r="B634" s="412">
        <f>VLOOKUP(B614,'BANG LUONG 1'!$B$5:$AJ$56,24,0)</f>
        <v>0</v>
      </c>
      <c r="C634" s="421">
        <v>22</v>
      </c>
      <c r="D634" s="41"/>
    </row>
    <row r="635" spans="1:5" x14ac:dyDescent="0.25">
      <c r="A635" s="183" t="s">
        <v>237</v>
      </c>
      <c r="B635" s="415">
        <f>VLOOKUP(B614,'BANG LUONG 1'!$B$5:$AJ$56,26,0)</f>
        <v>7090647.3612882663</v>
      </c>
      <c r="C635" s="421">
        <v>24</v>
      </c>
      <c r="D635" s="41"/>
    </row>
    <row r="636" spans="1:5" x14ac:dyDescent="0.25">
      <c r="A636" s="421" t="s">
        <v>545</v>
      </c>
      <c r="B636" s="412">
        <f>VLOOKUP(B614,'BANG LUONG 1'!$B$5:$AJ$56,27,0)</f>
        <v>3000000</v>
      </c>
      <c r="C636" s="421">
        <v>25</v>
      </c>
      <c r="D636" s="41"/>
    </row>
    <row r="637" spans="1:5" x14ac:dyDescent="0.25">
      <c r="A637" s="421" t="s">
        <v>544</v>
      </c>
      <c r="B637" s="412">
        <f>VLOOKUP(B614,'BANG LUONG 1'!$B$5:$AJ$56,28,0)</f>
        <v>480585</v>
      </c>
      <c r="C637" s="421">
        <v>26</v>
      </c>
      <c r="D637" s="41"/>
    </row>
    <row r="638" spans="1:5" x14ac:dyDescent="0.25">
      <c r="A638" s="421" t="s">
        <v>712</v>
      </c>
      <c r="B638" s="415">
        <f>VLOOKUP(B614,'BANG LUONG 1'!$B$5:$AJ$56,32,0)</f>
        <v>0</v>
      </c>
      <c r="C638" s="421"/>
      <c r="D638" s="41"/>
    </row>
    <row r="639" spans="1:5" x14ac:dyDescent="0.25">
      <c r="A639" s="421" t="s">
        <v>713</v>
      </c>
      <c r="B639" s="415">
        <f>VLOOKUP(B614,'BANG LUONG 1'!$B$5:$AJ$56,33,0)</f>
        <v>242000</v>
      </c>
      <c r="C639" s="421"/>
      <c r="D639" s="41"/>
    </row>
    <row r="640" spans="1:5" x14ac:dyDescent="0.25">
      <c r="A640" s="183" t="s">
        <v>707</v>
      </c>
      <c r="B640" s="415">
        <f>VLOOKUP(B614,'BANG LUONG 1'!$B$5:$AJ$56,30,0)</f>
        <v>100000</v>
      </c>
      <c r="C640" s="421"/>
      <c r="D640" s="41"/>
      <c r="E640" s="108" t="str">
        <f>B615</f>
        <v>Nguyễn Văn Tuấn</v>
      </c>
    </row>
    <row r="641" spans="1:4" x14ac:dyDescent="0.25">
      <c r="A641" s="183" t="s">
        <v>546</v>
      </c>
      <c r="B641" s="415">
        <f>VLOOKUP(B614,'BANG LUONG 1'!$B$5:$AJ$56,35,0)</f>
        <v>3952000</v>
      </c>
      <c r="C641" s="421"/>
      <c r="D641" s="41"/>
    </row>
    <row r="642" spans="1:4" x14ac:dyDescent="0.25">
      <c r="A642" s="184" t="s">
        <v>549</v>
      </c>
      <c r="B642" s="424">
        <f>'BANG LUONG 1'!$P$3</f>
        <v>43733</v>
      </c>
    </row>
    <row r="643" spans="1:4" x14ac:dyDescent="0.25">
      <c r="A643" s="183" t="s">
        <v>1</v>
      </c>
      <c r="B643" s="185" t="s">
        <v>145</v>
      </c>
      <c r="C643" s="421">
        <v>1</v>
      </c>
      <c r="D643" s="41"/>
    </row>
    <row r="644" spans="1:4" x14ac:dyDescent="0.25">
      <c r="A644" s="183" t="s">
        <v>2</v>
      </c>
      <c r="B644" s="185" t="str">
        <f>VLOOKUP($B643,'BANG LUONG 1'!$B$6:$AB$51,C644,0)</f>
        <v>Hà Thanh Truyền</v>
      </c>
      <c r="C644" s="421">
        <v>2</v>
      </c>
      <c r="D644" s="41"/>
    </row>
    <row r="645" spans="1:4" x14ac:dyDescent="0.25">
      <c r="A645" s="421" t="s">
        <v>3</v>
      </c>
      <c r="B645" s="41" t="str">
        <f>VLOOKUP($B643,'BANG LUONG 1'!$B$6:$AJ$51,C645,0)</f>
        <v>Lái xe cơ giới</v>
      </c>
      <c r="C645" s="421">
        <v>3</v>
      </c>
      <c r="D645" s="41"/>
    </row>
    <row r="646" spans="1:4" x14ac:dyDescent="0.25">
      <c r="A646" s="421" t="s">
        <v>376</v>
      </c>
      <c r="B646" s="410">
        <f>VLOOKUP($B643,'BANG LUONG 1'!$B$5:$AJ$56,4,0)</f>
        <v>42789</v>
      </c>
      <c r="C646" s="421">
        <v>4</v>
      </c>
      <c r="D646" s="41"/>
    </row>
    <row r="647" spans="1:4" x14ac:dyDescent="0.25">
      <c r="A647" s="421" t="s">
        <v>698</v>
      </c>
      <c r="B647" s="411">
        <f>VLOOKUP(B643,'BANG LUONG 1'!$B$5:$AJ$56,6,0)</f>
        <v>0</v>
      </c>
      <c r="C647" s="421">
        <v>5</v>
      </c>
      <c r="D647" s="41"/>
    </row>
    <row r="648" spans="1:4" x14ac:dyDescent="0.25">
      <c r="A648" s="421" t="s">
        <v>229</v>
      </c>
      <c r="B648" s="412">
        <f>'thang luong moi'!$F$5</f>
        <v>4012500</v>
      </c>
      <c r="C648" s="421">
        <v>6</v>
      </c>
      <c r="D648" s="41"/>
    </row>
    <row r="649" spans="1:4" x14ac:dyDescent="0.25">
      <c r="A649" s="421" t="s">
        <v>217</v>
      </c>
      <c r="B649" s="412" t="str">
        <f>VLOOKUP(B643,'BANG LUONG 1'!$B$5:$AJ$56,8,0)</f>
        <v>B.02</v>
      </c>
      <c r="C649" s="421">
        <v>7</v>
      </c>
      <c r="D649" s="41"/>
    </row>
    <row r="650" spans="1:4" x14ac:dyDescent="0.25">
      <c r="A650" s="421" t="s">
        <v>230</v>
      </c>
      <c r="B650" s="412">
        <f>VLOOKUP(B643,'BANG LUONG 1'!$B$5:$AJ$56,9,0)</f>
        <v>1</v>
      </c>
      <c r="C650" s="421">
        <v>8</v>
      </c>
      <c r="D650" s="41"/>
    </row>
    <row r="651" spans="1:4" x14ac:dyDescent="0.25">
      <c r="A651" s="421" t="s">
        <v>538</v>
      </c>
      <c r="B651" s="412">
        <f>VLOOKUP(B643,'BANG LUONG 1'!$B$5:$AJ$56,11,0)</f>
        <v>4413750</v>
      </c>
      <c r="C651" s="421">
        <v>9</v>
      </c>
      <c r="D651" s="41"/>
    </row>
    <row r="652" spans="1:4" x14ac:dyDescent="0.25">
      <c r="A652" s="421" t="s">
        <v>354</v>
      </c>
      <c r="B652" s="412">
        <f>VLOOKUP(B643,'BANG LUONG 1'!$B$5:$AJ$56,12,0)</f>
        <v>22</v>
      </c>
      <c r="C652" s="421">
        <v>10</v>
      </c>
      <c r="D652" s="41"/>
    </row>
    <row r="653" spans="1:4" x14ac:dyDescent="0.25">
      <c r="A653" s="421" t="s">
        <v>534</v>
      </c>
      <c r="B653" s="412">
        <f>VLOOKUP(B643,'BANG LUONG 1'!$B$5:$AJ$56,13,0)</f>
        <v>3734711.538461538</v>
      </c>
      <c r="C653" s="421">
        <v>11</v>
      </c>
      <c r="D653" s="41"/>
    </row>
    <row r="654" spans="1:4" x14ac:dyDescent="0.25">
      <c r="A654" s="421" t="s">
        <v>592</v>
      </c>
      <c r="B654" s="412">
        <f>VLOOKUP(B643,'BANG LUONG 1'!$B$5:$AJ$56,14,0)</f>
        <v>1</v>
      </c>
      <c r="C654" s="421">
        <v>12</v>
      </c>
      <c r="D654" s="41">
        <f>B651/26*B654</f>
        <v>169759.61538461538</v>
      </c>
    </row>
    <row r="655" spans="1:4" x14ac:dyDescent="0.25">
      <c r="A655" s="421" t="s">
        <v>357</v>
      </c>
      <c r="B655" s="412">
        <f>VLOOKUP(B643,'BANG LUONG 1'!$B$5:$AJ$56,15,0)</f>
        <v>32.9</v>
      </c>
      <c r="C655" s="421">
        <v>13</v>
      </c>
      <c r="D655" s="41">
        <f>B651/26/8*1.5*B655</f>
        <v>1047204.627403846</v>
      </c>
    </row>
    <row r="656" spans="1:4" x14ac:dyDescent="0.25">
      <c r="A656" s="421" t="s">
        <v>387</v>
      </c>
      <c r="B656" s="412">
        <f>VLOOKUP(B643,'BANG LUONG 1'!$B$5:$AJ$56,16,0)</f>
        <v>8</v>
      </c>
      <c r="C656" s="421">
        <v>14</v>
      </c>
      <c r="D656" s="41">
        <f>B651/26/8*2*B656</f>
        <v>339519.23076923075</v>
      </c>
    </row>
    <row r="657" spans="1:5" x14ac:dyDescent="0.25">
      <c r="A657" s="421" t="s">
        <v>593</v>
      </c>
      <c r="B657" s="412">
        <f>VLOOKUP(B643,'BANG LUONG 1'!$B$5:$AJ$56,17,0)</f>
        <v>1</v>
      </c>
      <c r="C657" s="421"/>
      <c r="D657" s="41">
        <f>(B651/26)*B657</f>
        <v>169759.61538461538</v>
      </c>
    </row>
    <row r="658" spans="1:5" x14ac:dyDescent="0.25">
      <c r="A658" s="421" t="s">
        <v>388</v>
      </c>
      <c r="B658" s="412">
        <f>VLOOKUP(B643,'BANG LUONG 1'!$B$5:$AJ$56,18,0)</f>
        <v>0</v>
      </c>
      <c r="C658" s="421">
        <v>15</v>
      </c>
      <c r="D658" s="41">
        <f>(B651/26*B658)*3</f>
        <v>0</v>
      </c>
    </row>
    <row r="659" spans="1:5" x14ac:dyDescent="0.25">
      <c r="A659" s="421" t="s">
        <v>533</v>
      </c>
      <c r="B659" s="412">
        <f>VLOOKUP(B643,'BANG LUONG 1'!$B$5:$AJ$56,19,0)</f>
        <v>5460954.627403846</v>
      </c>
      <c r="C659" s="183">
        <v>16</v>
      </c>
      <c r="D659" s="185">
        <f>B653+D655+D656+D654+D658+D657</f>
        <v>5460954.6274038451</v>
      </c>
      <c r="E659" s="108"/>
    </row>
    <row r="660" spans="1:5" x14ac:dyDescent="0.25">
      <c r="A660" s="421" t="s">
        <v>535</v>
      </c>
      <c r="B660" s="412">
        <f>VLOOKUP(B643,'BANG LUONG 1'!$B$5:$AJ$56,20,0)</f>
        <v>3506638.5400313968</v>
      </c>
      <c r="C660" s="421">
        <v>17</v>
      </c>
      <c r="D660" s="41"/>
    </row>
    <row r="661" spans="1:5" x14ac:dyDescent="0.25">
      <c r="A661" s="421" t="s">
        <v>370</v>
      </c>
      <c r="B661" s="412">
        <f>VLOOKUP(B643,'BANG LUONG 1'!$B$5:$AJ$56,22,0)</f>
        <v>0</v>
      </c>
      <c r="C661" s="421">
        <v>18</v>
      </c>
      <c r="D661" s="41"/>
    </row>
    <row r="662" spans="1:5" x14ac:dyDescent="0.25">
      <c r="A662" s="421" t="s">
        <v>371</v>
      </c>
      <c r="B662" s="412">
        <f>VLOOKUP(B643,'BANG LUONG 1'!$B$5:$AJ$56,23,0)</f>
        <v>0</v>
      </c>
      <c r="C662" s="421">
        <v>19</v>
      </c>
      <c r="D662" s="41"/>
    </row>
    <row r="663" spans="1:5" x14ac:dyDescent="0.25">
      <c r="A663" s="421" t="s">
        <v>560</v>
      </c>
      <c r="B663" s="412">
        <f>VLOOKUP(B643,'BANG LUONG 1'!$B$5:$AJ$56,24,0)</f>
        <v>0</v>
      </c>
      <c r="C663" s="421">
        <v>22</v>
      </c>
      <c r="D663" s="41"/>
    </row>
    <row r="664" spans="1:5" x14ac:dyDescent="0.25">
      <c r="A664" s="183" t="s">
        <v>237</v>
      </c>
      <c r="B664" s="415">
        <f>VLOOKUP(B643,'BANG LUONG 1'!$B$5:$AJ$56,26,0)</f>
        <v>8967593.1674352437</v>
      </c>
      <c r="C664" s="421">
        <v>24</v>
      </c>
      <c r="D664" s="41"/>
    </row>
    <row r="665" spans="1:5" x14ac:dyDescent="0.25">
      <c r="A665" s="421" t="s">
        <v>545</v>
      </c>
      <c r="B665" s="412">
        <f>VLOOKUP(B643,'BANG LUONG 1'!$B$5:$AJ$56,27,0)</f>
        <v>4000000</v>
      </c>
      <c r="C665" s="421">
        <v>25</v>
      </c>
      <c r="D665" s="41"/>
    </row>
    <row r="666" spans="1:5" x14ac:dyDescent="0.25">
      <c r="A666" s="421" t="s">
        <v>544</v>
      </c>
      <c r="B666" s="412">
        <f>VLOOKUP(B643,'BANG LUONG 1'!$B$5:$AJ$56,28,0)</f>
        <v>480585</v>
      </c>
      <c r="C666" s="421">
        <v>26</v>
      </c>
      <c r="D666" s="41"/>
    </row>
    <row r="667" spans="1:5" x14ac:dyDescent="0.25">
      <c r="A667" s="421" t="s">
        <v>712</v>
      </c>
      <c r="B667" s="415">
        <f>VLOOKUP(B643,'BANG LUONG 1'!$B$5:$AJ$56,32,0)</f>
        <v>0</v>
      </c>
      <c r="C667" s="421"/>
      <c r="D667" s="41"/>
    </row>
    <row r="668" spans="1:5" x14ac:dyDescent="0.25">
      <c r="A668" s="421" t="s">
        <v>713</v>
      </c>
      <c r="B668" s="415">
        <f>VLOOKUP(B643,'BANG LUONG 1'!$B$5:$AJ$56,33,0)</f>
        <v>132000</v>
      </c>
      <c r="C668" s="421"/>
      <c r="D668" s="41"/>
    </row>
    <row r="669" spans="1:5" x14ac:dyDescent="0.25">
      <c r="A669" s="183" t="s">
        <v>707</v>
      </c>
      <c r="B669" s="415">
        <f>VLOOKUP(B643,'BANG LUONG 1'!$B$5:$AJ$56,30,0)</f>
        <v>100000</v>
      </c>
      <c r="C669" s="421"/>
      <c r="D669" s="41"/>
      <c r="E669" s="108" t="str">
        <f>B644</f>
        <v>Hà Thanh Truyền</v>
      </c>
    </row>
    <row r="670" spans="1:5" x14ac:dyDescent="0.25">
      <c r="A670" s="183" t="s">
        <v>546</v>
      </c>
      <c r="B670" s="415">
        <f>VLOOKUP(B643,'BANG LUONG 1'!$B$5:$AJ$56,35,0)</f>
        <v>4719000</v>
      </c>
      <c r="C670" s="421"/>
      <c r="D670" s="41"/>
    </row>
    <row r="671" spans="1:5" x14ac:dyDescent="0.25">
      <c r="A671" s="184" t="s">
        <v>549</v>
      </c>
      <c r="B671" s="424">
        <f>'BANG LUONG 1'!$P$3</f>
        <v>43733</v>
      </c>
    </row>
    <row r="672" spans="1:5" x14ac:dyDescent="0.25">
      <c r="A672" s="183" t="s">
        <v>1</v>
      </c>
      <c r="B672" s="185" t="s">
        <v>146</v>
      </c>
      <c r="C672" s="421">
        <v>1</v>
      </c>
      <c r="D672" s="41"/>
    </row>
    <row r="673" spans="1:5" x14ac:dyDescent="0.25">
      <c r="A673" s="183" t="s">
        <v>2</v>
      </c>
      <c r="B673" s="185" t="str">
        <f>VLOOKUP($B672,'BANG LUONG 1'!$B$6:$AB$51,C673,0)</f>
        <v>Phan Văn Bạn</v>
      </c>
      <c r="C673" s="421">
        <v>2</v>
      </c>
      <c r="D673" s="41"/>
    </row>
    <row r="674" spans="1:5" x14ac:dyDescent="0.25">
      <c r="A674" s="421" t="s">
        <v>3</v>
      </c>
      <c r="B674" s="41" t="str">
        <f>VLOOKUP($B672,'BANG LUONG 1'!$B$6:$AJ$51,C674,0)</f>
        <v>Lái xe cơ giới</v>
      </c>
      <c r="C674" s="421">
        <v>3</v>
      </c>
      <c r="D674" s="41"/>
    </row>
    <row r="675" spans="1:5" x14ac:dyDescent="0.25">
      <c r="A675" s="421" t="s">
        <v>376</v>
      </c>
      <c r="B675" s="410">
        <f>VLOOKUP($B672,'BANG LUONG 1'!$B$5:$AJ$56,4,0)</f>
        <v>41640</v>
      </c>
      <c r="C675" s="421">
        <v>4</v>
      </c>
      <c r="D675" s="41"/>
    </row>
    <row r="676" spans="1:5" x14ac:dyDescent="0.25">
      <c r="A676" s="421" t="s">
        <v>698</v>
      </c>
      <c r="B676" s="411">
        <f>VLOOKUP(B672,'BANG LUONG 1'!$B$5:$AJ$56,6,0)</f>
        <v>0.05</v>
      </c>
      <c r="C676" s="421">
        <v>5</v>
      </c>
      <c r="D676" s="41"/>
    </row>
    <row r="677" spans="1:5" x14ac:dyDescent="0.25">
      <c r="A677" s="421" t="s">
        <v>229</v>
      </c>
      <c r="B677" s="412">
        <f>'thang luong moi'!$F$5</f>
        <v>4012500</v>
      </c>
      <c r="C677" s="421">
        <v>6</v>
      </c>
      <c r="D677" s="41"/>
    </row>
    <row r="678" spans="1:5" x14ac:dyDescent="0.25">
      <c r="A678" s="421" t="s">
        <v>217</v>
      </c>
      <c r="B678" s="412" t="str">
        <f>VLOOKUP(B672,'BANG LUONG 1'!$B$5:$AJ$56,8,0)</f>
        <v>B.02</v>
      </c>
      <c r="C678" s="421">
        <v>7</v>
      </c>
      <c r="D678" s="41"/>
    </row>
    <row r="679" spans="1:5" x14ac:dyDescent="0.25">
      <c r="A679" s="421" t="s">
        <v>230</v>
      </c>
      <c r="B679" s="412">
        <f>VLOOKUP(B672,'BANG LUONG 1'!$B$5:$AJ$56,9,0)</f>
        <v>1</v>
      </c>
      <c r="C679" s="421">
        <v>8</v>
      </c>
      <c r="D679" s="41"/>
    </row>
    <row r="680" spans="1:5" x14ac:dyDescent="0.25">
      <c r="A680" s="421" t="s">
        <v>538</v>
      </c>
      <c r="B680" s="412">
        <f>VLOOKUP(B672,'BANG LUONG 1'!$B$5:$AJ$56,11,0)</f>
        <v>4413750</v>
      </c>
      <c r="C680" s="421">
        <v>9</v>
      </c>
      <c r="D680" s="41"/>
    </row>
    <row r="681" spans="1:5" x14ac:dyDescent="0.25">
      <c r="A681" s="421" t="s">
        <v>354</v>
      </c>
      <c r="B681" s="412">
        <f>VLOOKUP(B672,'BANG LUONG 1'!$B$5:$AJ$56,12,0)</f>
        <v>25</v>
      </c>
      <c r="C681" s="421">
        <v>10</v>
      </c>
      <c r="D681" s="41"/>
    </row>
    <row r="682" spans="1:5" x14ac:dyDescent="0.25">
      <c r="A682" s="421" t="s">
        <v>534</v>
      </c>
      <c r="B682" s="412">
        <f>VLOOKUP(B672,'BANG LUONG 1'!$B$5:$AJ$56,13,0)</f>
        <v>4243990.384615384</v>
      </c>
      <c r="C682" s="421">
        <v>11</v>
      </c>
      <c r="D682" s="41"/>
    </row>
    <row r="683" spans="1:5" x14ac:dyDescent="0.25">
      <c r="A683" s="421" t="s">
        <v>592</v>
      </c>
      <c r="B683" s="412">
        <f>VLOOKUP(B672,'BANG LUONG 1'!$B$5:$AJ$56,14,0)</f>
        <v>1</v>
      </c>
      <c r="C683" s="421">
        <v>12</v>
      </c>
      <c r="D683" s="41">
        <f>B680/26*B683</f>
        <v>169759.61538461538</v>
      </c>
    </row>
    <row r="684" spans="1:5" x14ac:dyDescent="0.25">
      <c r="A684" s="421" t="s">
        <v>357</v>
      </c>
      <c r="B684" s="412">
        <f>VLOOKUP(B672,'BANG LUONG 1'!$B$5:$AJ$56,15,0)</f>
        <v>24</v>
      </c>
      <c r="C684" s="421">
        <v>13</v>
      </c>
      <c r="D684" s="41">
        <f>B680/26/8*1.5*B684</f>
        <v>763918.26923076925</v>
      </c>
    </row>
    <row r="685" spans="1:5" x14ac:dyDescent="0.25">
      <c r="A685" s="421" t="s">
        <v>387</v>
      </c>
      <c r="B685" s="412">
        <f>VLOOKUP(B672,'BANG LUONG 1'!$B$5:$AJ$56,16,0)</f>
        <v>16</v>
      </c>
      <c r="C685" s="421">
        <v>14</v>
      </c>
      <c r="D685" s="41">
        <f>B680/26/8*2*B685</f>
        <v>679038.4615384615</v>
      </c>
    </row>
    <row r="686" spans="1:5" x14ac:dyDescent="0.25">
      <c r="A686" s="421" t="s">
        <v>593</v>
      </c>
      <c r="B686" s="412">
        <f>VLOOKUP(B672,'BANG LUONG 1'!$B$5:$AJ$56,17,0)</f>
        <v>1</v>
      </c>
      <c r="C686" s="421"/>
      <c r="D686" s="41">
        <f>(B680/26)*B686</f>
        <v>169759.61538461538</v>
      </c>
    </row>
    <row r="687" spans="1:5" x14ac:dyDescent="0.25">
      <c r="A687" s="421" t="s">
        <v>388</v>
      </c>
      <c r="B687" s="412">
        <f>VLOOKUP(B672,'BANG LUONG 1'!$B$5:$AJ$56,18,0)</f>
        <v>0</v>
      </c>
      <c r="C687" s="421">
        <v>15</v>
      </c>
      <c r="D687" s="41">
        <f>(B680/26*B687)*3</f>
        <v>0</v>
      </c>
    </row>
    <row r="688" spans="1:5" x14ac:dyDescent="0.25">
      <c r="A688" s="421" t="s">
        <v>533</v>
      </c>
      <c r="B688" s="412">
        <f>VLOOKUP(B672,'BANG LUONG 1'!$B$5:$AJ$56,19,0)</f>
        <v>6026466.3461538451</v>
      </c>
      <c r="C688" s="183">
        <v>16</v>
      </c>
      <c r="D688" s="185">
        <f>B682+D684+D685+D683+D687+D686</f>
        <v>6026466.3461538441</v>
      </c>
      <c r="E688" s="108"/>
    </row>
    <row r="689" spans="1:5" x14ac:dyDescent="0.25">
      <c r="A689" s="421" t="s">
        <v>535</v>
      </c>
      <c r="B689" s="412">
        <f>VLOOKUP(B672,'BANG LUONG 1'!$B$5:$AJ$56,20,0)</f>
        <v>8323813.4615384638</v>
      </c>
      <c r="C689" s="421">
        <v>17</v>
      </c>
      <c r="D689" s="41"/>
    </row>
    <row r="690" spans="1:5" x14ac:dyDescent="0.25">
      <c r="A690" s="421" t="s">
        <v>370</v>
      </c>
      <c r="B690" s="412">
        <f>VLOOKUP(B672,'BANG LUONG 1'!$B$5:$AJ$56,22,0)</f>
        <v>220687.5</v>
      </c>
      <c r="C690" s="421">
        <v>18</v>
      </c>
      <c r="D690" s="41"/>
    </row>
    <row r="691" spans="1:5" x14ac:dyDescent="0.25">
      <c r="A691" s="421" t="s">
        <v>371</v>
      </c>
      <c r="B691" s="412">
        <f>VLOOKUP(B672,'BANG LUONG 1'!$B$5:$AJ$56,23,0)</f>
        <v>300000</v>
      </c>
      <c r="C691" s="421">
        <v>19</v>
      </c>
      <c r="D691" s="41"/>
    </row>
    <row r="692" spans="1:5" x14ac:dyDescent="0.25">
      <c r="A692" s="421" t="s">
        <v>560</v>
      </c>
      <c r="B692" s="412">
        <f>VLOOKUP(B672,'BANG LUONG 1'!$B$5:$AJ$56,24,0)</f>
        <v>0</v>
      </c>
      <c r="C692" s="421">
        <v>22</v>
      </c>
      <c r="D692" s="41"/>
    </row>
    <row r="693" spans="1:5" x14ac:dyDescent="0.25">
      <c r="A693" s="183" t="s">
        <v>237</v>
      </c>
      <c r="B693" s="415">
        <f>VLOOKUP(B672,'BANG LUONG 1'!$B$5:$AJ$56,26,0)</f>
        <v>14870967.307692308</v>
      </c>
      <c r="C693" s="421">
        <v>24</v>
      </c>
      <c r="D693" s="41"/>
    </row>
    <row r="694" spans="1:5" x14ac:dyDescent="0.25">
      <c r="A694" s="421" t="s">
        <v>545</v>
      </c>
      <c r="B694" s="412">
        <f>VLOOKUP(B672,'BANG LUONG 1'!$B$5:$AJ$56,27,0)</f>
        <v>3000000</v>
      </c>
      <c r="C694" s="421">
        <v>25</v>
      </c>
      <c r="D694" s="41"/>
    </row>
    <row r="695" spans="1:5" x14ac:dyDescent="0.25">
      <c r="A695" s="421" t="s">
        <v>544</v>
      </c>
      <c r="B695" s="412">
        <f>VLOOKUP(B672,'BANG LUONG 1'!$B$5:$AJ$56,28,0)</f>
        <v>480585</v>
      </c>
      <c r="C695" s="421">
        <v>26</v>
      </c>
      <c r="D695" s="41"/>
    </row>
    <row r="696" spans="1:5" x14ac:dyDescent="0.25">
      <c r="A696" s="421" t="s">
        <v>712</v>
      </c>
      <c r="B696" s="415">
        <f>VLOOKUP(B672,'BANG LUONG 1'!$B$5:$AJ$56,32,0)</f>
        <v>0</v>
      </c>
      <c r="C696" s="421"/>
      <c r="D696" s="41"/>
    </row>
    <row r="697" spans="1:5" x14ac:dyDescent="0.25">
      <c r="A697" s="421" t="s">
        <v>713</v>
      </c>
      <c r="B697" s="415">
        <f>VLOOKUP(B672,'BANG LUONG 1'!$B$5:$AJ$56,33,0)</f>
        <v>176000</v>
      </c>
      <c r="C697" s="421"/>
      <c r="D697" s="41"/>
    </row>
    <row r="698" spans="1:5" x14ac:dyDescent="0.25">
      <c r="A698" s="183" t="s">
        <v>707</v>
      </c>
      <c r="B698" s="415">
        <f>VLOOKUP(B672,'BANG LUONG 1'!$B$5:$AJ$56,30,0)</f>
        <v>100000</v>
      </c>
      <c r="C698" s="421"/>
      <c r="D698" s="41"/>
      <c r="E698" s="108" t="str">
        <f>B673</f>
        <v>Phan Văn Bạn</v>
      </c>
    </row>
    <row r="699" spans="1:5" x14ac:dyDescent="0.25">
      <c r="A699" s="183" t="s">
        <v>546</v>
      </c>
      <c r="B699" s="415">
        <f>VLOOKUP(B672,'BANG LUONG 1'!$B$5:$AJ$56,35,0)</f>
        <v>11666000</v>
      </c>
      <c r="C699" s="421"/>
      <c r="D699" s="41"/>
    </row>
    <row r="700" spans="1:5" x14ac:dyDescent="0.25">
      <c r="A700" s="184" t="s">
        <v>549</v>
      </c>
      <c r="B700" s="424">
        <f>'BANG LUONG 1'!$P$3</f>
        <v>43733</v>
      </c>
    </row>
    <row r="701" spans="1:5" x14ac:dyDescent="0.25">
      <c r="A701" s="183" t="s">
        <v>1</v>
      </c>
      <c r="B701" s="185" t="s">
        <v>147</v>
      </c>
      <c r="C701" s="421">
        <v>1</v>
      </c>
      <c r="D701" s="41"/>
    </row>
    <row r="702" spans="1:5" x14ac:dyDescent="0.25">
      <c r="A702" s="183" t="s">
        <v>2</v>
      </c>
      <c r="B702" s="185" t="str">
        <f>VLOOKUP($B701,'BANG LUONG 1'!$B$6:$AB$51,C702,0)</f>
        <v>Lê Minh Trọng</v>
      </c>
      <c r="C702" s="421">
        <v>2</v>
      </c>
      <c r="D702" s="41"/>
    </row>
    <row r="703" spans="1:5" x14ac:dyDescent="0.25">
      <c r="A703" s="421" t="s">
        <v>3</v>
      </c>
      <c r="B703" s="41" t="str">
        <f>VLOOKUP($B701,'BANG LUONG 1'!$B$6:$AJ$51,C703,0)</f>
        <v>Lái xe cơ giới</v>
      </c>
      <c r="C703" s="421">
        <v>3</v>
      </c>
      <c r="D703" s="41"/>
    </row>
    <row r="704" spans="1:5" x14ac:dyDescent="0.25">
      <c r="A704" s="421" t="s">
        <v>376</v>
      </c>
      <c r="B704" s="410">
        <f>VLOOKUP($B701,'BANG LUONG 1'!$B$5:$AJ$56,4,0)</f>
        <v>42375</v>
      </c>
      <c r="C704" s="421">
        <v>4</v>
      </c>
      <c r="D704" s="41"/>
    </row>
    <row r="705" spans="1:5" x14ac:dyDescent="0.25">
      <c r="A705" s="421" t="s">
        <v>698</v>
      </c>
      <c r="B705" s="411">
        <f>VLOOKUP(B701,'BANG LUONG 1'!$B$5:$AJ$56,6,0)</f>
        <v>0.03</v>
      </c>
      <c r="C705" s="421">
        <v>5</v>
      </c>
      <c r="D705" s="41"/>
    </row>
    <row r="706" spans="1:5" x14ac:dyDescent="0.25">
      <c r="A706" s="421" t="s">
        <v>229</v>
      </c>
      <c r="B706" s="412">
        <f>'thang luong moi'!$F$5</f>
        <v>4012500</v>
      </c>
      <c r="C706" s="421">
        <v>6</v>
      </c>
      <c r="D706" s="41"/>
    </row>
    <row r="707" spans="1:5" x14ac:dyDescent="0.25">
      <c r="A707" s="421" t="s">
        <v>217</v>
      </c>
      <c r="B707" s="412" t="str">
        <f>VLOOKUP(B701,'BANG LUONG 1'!$B$5:$AJ$56,8,0)</f>
        <v>B.02</v>
      </c>
      <c r="C707" s="421">
        <v>7</v>
      </c>
      <c r="D707" s="41"/>
    </row>
    <row r="708" spans="1:5" x14ac:dyDescent="0.25">
      <c r="A708" s="421" t="s">
        <v>230</v>
      </c>
      <c r="B708" s="412">
        <f>VLOOKUP(B701,'BANG LUONG 1'!$B$5:$AJ$56,9,0)</f>
        <v>1</v>
      </c>
      <c r="C708" s="421">
        <v>8</v>
      </c>
      <c r="D708" s="41"/>
    </row>
    <row r="709" spans="1:5" x14ac:dyDescent="0.25">
      <c r="A709" s="421" t="s">
        <v>538</v>
      </c>
      <c r="B709" s="412">
        <f>VLOOKUP(B701,'BANG LUONG 1'!$B$5:$AJ$56,11,0)</f>
        <v>4413750</v>
      </c>
      <c r="C709" s="421">
        <v>9</v>
      </c>
      <c r="D709" s="41"/>
    </row>
    <row r="710" spans="1:5" x14ac:dyDescent="0.25">
      <c r="A710" s="421" t="s">
        <v>354</v>
      </c>
      <c r="B710" s="412">
        <f>VLOOKUP(B701,'BANG LUONG 1'!$B$5:$AJ$56,12,0)</f>
        <v>20</v>
      </c>
      <c r="C710" s="421">
        <v>10</v>
      </c>
      <c r="D710" s="41"/>
    </row>
    <row r="711" spans="1:5" x14ac:dyDescent="0.25">
      <c r="A711" s="421" t="s">
        <v>534</v>
      </c>
      <c r="B711" s="412">
        <f>VLOOKUP(B701,'BANG LUONG 1'!$B$5:$AJ$56,13,0)</f>
        <v>3395192.3076923075</v>
      </c>
      <c r="C711" s="421">
        <v>11</v>
      </c>
      <c r="D711" s="41"/>
    </row>
    <row r="712" spans="1:5" x14ac:dyDescent="0.25">
      <c r="A712" s="421" t="s">
        <v>592</v>
      </c>
      <c r="B712" s="412">
        <f>VLOOKUP(B701,'BANG LUONG 1'!$B$5:$AJ$56,14,0)</f>
        <v>6</v>
      </c>
      <c r="C712" s="421">
        <v>12</v>
      </c>
      <c r="D712" s="41">
        <f>B709/26*B712</f>
        <v>1018557.6923076923</v>
      </c>
    </row>
    <row r="713" spans="1:5" x14ac:dyDescent="0.25">
      <c r="A713" s="421" t="s">
        <v>357</v>
      </c>
      <c r="B713" s="412">
        <f>VLOOKUP(B701,'BANG LUONG 1'!$B$5:$AJ$56,15,0)</f>
        <v>9</v>
      </c>
      <c r="C713" s="421">
        <v>13</v>
      </c>
      <c r="D713" s="41">
        <f>B709/26/8*1.5*B713</f>
        <v>286469.35096153844</v>
      </c>
    </row>
    <row r="714" spans="1:5" x14ac:dyDescent="0.25">
      <c r="A714" s="421" t="s">
        <v>387</v>
      </c>
      <c r="B714" s="412">
        <f>VLOOKUP(B701,'BANG LUONG 1'!$B$5:$AJ$56,16,0)</f>
        <v>12</v>
      </c>
      <c r="C714" s="421">
        <v>14</v>
      </c>
      <c r="D714" s="41">
        <f>B709/26/8*2*B714</f>
        <v>509278.84615384613</v>
      </c>
    </row>
    <row r="715" spans="1:5" x14ac:dyDescent="0.25">
      <c r="A715" s="421" t="s">
        <v>593</v>
      </c>
      <c r="B715" s="412">
        <f>VLOOKUP(B701,'BANG LUONG 1'!$B$5:$AJ$56,17,0)</f>
        <v>1</v>
      </c>
      <c r="C715" s="421"/>
      <c r="D715" s="41">
        <f>(B709/26)*B715</f>
        <v>169759.61538461538</v>
      </c>
    </row>
    <row r="716" spans="1:5" x14ac:dyDescent="0.25">
      <c r="A716" s="421" t="s">
        <v>388</v>
      </c>
      <c r="B716" s="412">
        <f>VLOOKUP(B701,'BANG LUONG 1'!$B$5:$AJ$56,18,0)</f>
        <v>0</v>
      </c>
      <c r="C716" s="421">
        <v>15</v>
      </c>
      <c r="D716" s="41">
        <f>(B709/26*B716)*3</f>
        <v>0</v>
      </c>
    </row>
    <row r="717" spans="1:5" x14ac:dyDescent="0.25">
      <c r="A717" s="421" t="s">
        <v>533</v>
      </c>
      <c r="B717" s="412">
        <f>VLOOKUP(B701,'BANG LUONG 1'!$B$5:$AJ$56,19,0)</f>
        <v>5379257.8124999991</v>
      </c>
      <c r="C717" s="183">
        <v>16</v>
      </c>
      <c r="D717" s="185">
        <f>B711+D713+D714+D712+D716+D715</f>
        <v>5379257.8124999991</v>
      </c>
      <c r="E717" s="108"/>
    </row>
    <row r="718" spans="1:5" x14ac:dyDescent="0.25">
      <c r="A718" s="421" t="s">
        <v>535</v>
      </c>
      <c r="B718" s="412">
        <f>VLOOKUP(B701,'BANG LUONG 1'!$B$5:$AJ$56,20,0)</f>
        <v>-966620.87912087888</v>
      </c>
      <c r="C718" s="421">
        <v>17</v>
      </c>
      <c r="D718" s="41"/>
    </row>
    <row r="719" spans="1:5" x14ac:dyDescent="0.25">
      <c r="A719" s="421" t="s">
        <v>370</v>
      </c>
      <c r="B719" s="412">
        <f>VLOOKUP(B701,'BANG LUONG 1'!$B$5:$AJ$56,22,0)</f>
        <v>132412.5</v>
      </c>
      <c r="C719" s="421">
        <v>18</v>
      </c>
      <c r="D719" s="41"/>
    </row>
    <row r="720" spans="1:5" x14ac:dyDescent="0.25">
      <c r="A720" s="421" t="s">
        <v>371</v>
      </c>
      <c r="B720" s="412">
        <f>VLOOKUP(B701,'BANG LUONG 1'!$B$5:$AJ$56,23,0)</f>
        <v>0</v>
      </c>
      <c r="C720" s="421">
        <v>19</v>
      </c>
      <c r="D720" s="41"/>
    </row>
    <row r="721" spans="1:5" x14ac:dyDescent="0.25">
      <c r="A721" s="421" t="s">
        <v>560</v>
      </c>
      <c r="B721" s="412">
        <f>VLOOKUP(B701,'BANG LUONG 1'!$B$5:$AJ$56,24,0)</f>
        <v>0</v>
      </c>
      <c r="C721" s="421">
        <v>22</v>
      </c>
      <c r="D721" s="41"/>
    </row>
    <row r="722" spans="1:5" x14ac:dyDescent="0.25">
      <c r="A722" s="183" t="s">
        <v>237</v>
      </c>
      <c r="B722" s="415">
        <f>VLOOKUP(B701,'BANG LUONG 1'!$B$5:$AJ$56,26,0)</f>
        <v>4545049.4333791202</v>
      </c>
      <c r="C722" s="421">
        <v>24</v>
      </c>
      <c r="D722" s="41"/>
    </row>
    <row r="723" spans="1:5" x14ac:dyDescent="0.25">
      <c r="A723" s="421" t="s">
        <v>545</v>
      </c>
      <c r="B723" s="412">
        <f>VLOOKUP(B701,'BANG LUONG 1'!$B$5:$AJ$56,27,0)</f>
        <v>4000000</v>
      </c>
      <c r="C723" s="421">
        <v>25</v>
      </c>
      <c r="D723" s="41"/>
    </row>
    <row r="724" spans="1:5" x14ac:dyDescent="0.25">
      <c r="A724" s="421" t="s">
        <v>544</v>
      </c>
      <c r="B724" s="412">
        <f>VLOOKUP(B701,'BANG LUONG 1'!$B$5:$AJ$56,28,0)</f>
        <v>480585</v>
      </c>
      <c r="C724" s="421">
        <v>26</v>
      </c>
      <c r="D724" s="41"/>
    </row>
    <row r="725" spans="1:5" x14ac:dyDescent="0.25">
      <c r="A725" s="421" t="s">
        <v>712</v>
      </c>
      <c r="B725" s="415">
        <f>VLOOKUP(B701,'BANG LUONG 1'!$B$5:$AJ$56,32,0)</f>
        <v>0</v>
      </c>
      <c r="C725" s="421"/>
      <c r="D725" s="41"/>
    </row>
    <row r="726" spans="1:5" x14ac:dyDescent="0.25">
      <c r="A726" s="421" t="s">
        <v>713</v>
      </c>
      <c r="B726" s="415">
        <f>VLOOKUP(B701,'BANG LUONG 1'!$B$5:$AJ$56,33,0)</f>
        <v>44000</v>
      </c>
      <c r="C726" s="421"/>
      <c r="D726" s="41"/>
    </row>
    <row r="727" spans="1:5" x14ac:dyDescent="0.25">
      <c r="A727" s="183" t="s">
        <v>707</v>
      </c>
      <c r="B727" s="415">
        <f>VLOOKUP(B701,'BANG LUONG 1'!$B$5:$AJ$56,30,0)</f>
        <v>100000</v>
      </c>
      <c r="C727" s="421"/>
      <c r="D727" s="41"/>
      <c r="E727" s="108" t="str">
        <f>B702</f>
        <v>Lê Minh Trọng</v>
      </c>
    </row>
    <row r="728" spans="1:5" x14ac:dyDescent="0.25">
      <c r="A728" s="183" t="s">
        <v>546</v>
      </c>
      <c r="B728" s="415">
        <f>VLOOKUP(B701,'BANG LUONG 1'!$B$5:$AJ$56,35,0)</f>
        <v>208000</v>
      </c>
      <c r="C728" s="421"/>
      <c r="D728" s="41"/>
    </row>
    <row r="729" spans="1:5" x14ac:dyDescent="0.25">
      <c r="A729" s="184" t="s">
        <v>549</v>
      </c>
      <c r="B729" s="424">
        <f>'BANG LUONG 1'!$P$3</f>
        <v>43733</v>
      </c>
    </row>
    <row r="730" spans="1:5" x14ac:dyDescent="0.25">
      <c r="A730" s="183" t="s">
        <v>1</v>
      </c>
      <c r="B730" s="185" t="s">
        <v>148</v>
      </c>
      <c r="C730" s="421">
        <v>1</v>
      </c>
      <c r="D730" s="41"/>
    </row>
    <row r="731" spans="1:5" x14ac:dyDescent="0.25">
      <c r="A731" s="183" t="s">
        <v>2</v>
      </c>
      <c r="B731" s="185" t="str">
        <f>VLOOKUP($B730,'BANG LUONG 1'!$B$6:$AB$51,C731,0)</f>
        <v>Nguyễn Văn Lâm</v>
      </c>
      <c r="C731" s="421">
        <v>2</v>
      </c>
      <c r="D731" s="41"/>
    </row>
    <row r="732" spans="1:5" x14ac:dyDescent="0.25">
      <c r="A732" s="421" t="s">
        <v>3</v>
      </c>
      <c r="B732" s="41" t="str">
        <f>VLOOKUP($B730,'BANG LUONG 1'!$B$6:$AJ$51,C732,0)</f>
        <v>Lái xe cơ giới</v>
      </c>
      <c r="C732" s="421">
        <v>3</v>
      </c>
      <c r="D732" s="41"/>
    </row>
    <row r="733" spans="1:5" x14ac:dyDescent="0.25">
      <c r="A733" s="421" t="s">
        <v>376</v>
      </c>
      <c r="B733" s="410">
        <f>VLOOKUP($B730,'BANG LUONG 1'!$B$5:$AJ$56,4,0)</f>
        <v>41956</v>
      </c>
      <c r="C733" s="421">
        <v>4</v>
      </c>
      <c r="D733" s="41"/>
    </row>
    <row r="734" spans="1:5" x14ac:dyDescent="0.25">
      <c r="A734" s="421" t="s">
        <v>698</v>
      </c>
      <c r="B734" s="411">
        <f>VLOOKUP(B730,'BANG LUONG 1'!$B$5:$AJ$56,6,0)</f>
        <v>0.04</v>
      </c>
      <c r="C734" s="421">
        <v>5</v>
      </c>
      <c r="D734" s="41"/>
    </row>
    <row r="735" spans="1:5" x14ac:dyDescent="0.25">
      <c r="A735" s="421" t="s">
        <v>229</v>
      </c>
      <c r="B735" s="412">
        <f>'thang luong moi'!$F$5</f>
        <v>4012500</v>
      </c>
      <c r="C735" s="421">
        <v>6</v>
      </c>
      <c r="D735" s="41"/>
    </row>
    <row r="736" spans="1:5" x14ac:dyDescent="0.25">
      <c r="A736" s="421" t="s">
        <v>217</v>
      </c>
      <c r="B736" s="412" t="str">
        <f>VLOOKUP(B730,'BANG LUONG 1'!$B$5:$AJ$56,8,0)</f>
        <v>B.02</v>
      </c>
      <c r="C736" s="421">
        <v>7</v>
      </c>
      <c r="D736" s="41"/>
    </row>
    <row r="737" spans="1:5" x14ac:dyDescent="0.25">
      <c r="A737" s="421" t="s">
        <v>230</v>
      </c>
      <c r="B737" s="412">
        <f>VLOOKUP(B730,'BANG LUONG 1'!$B$5:$AJ$56,9,0)</f>
        <v>1</v>
      </c>
      <c r="C737" s="421">
        <v>8</v>
      </c>
      <c r="D737" s="41"/>
    </row>
    <row r="738" spans="1:5" x14ac:dyDescent="0.25">
      <c r="A738" s="421" t="s">
        <v>538</v>
      </c>
      <c r="B738" s="412">
        <f>VLOOKUP(B730,'BANG LUONG 1'!$B$5:$AJ$56,11,0)</f>
        <v>4413750</v>
      </c>
      <c r="C738" s="421">
        <v>9</v>
      </c>
      <c r="D738" s="41"/>
    </row>
    <row r="739" spans="1:5" x14ac:dyDescent="0.25">
      <c r="A739" s="421" t="s">
        <v>354</v>
      </c>
      <c r="B739" s="412">
        <f>VLOOKUP(B730,'BANG LUONG 1'!$B$5:$AJ$56,12,0)</f>
        <v>22</v>
      </c>
      <c r="C739" s="421">
        <v>10</v>
      </c>
      <c r="D739" s="41"/>
    </row>
    <row r="740" spans="1:5" x14ac:dyDescent="0.25">
      <c r="A740" s="421" t="s">
        <v>534</v>
      </c>
      <c r="B740" s="412">
        <f>VLOOKUP(B730,'BANG LUONG 1'!$B$5:$AJ$56,13,0)</f>
        <v>3734711.538461538</v>
      </c>
      <c r="C740" s="421">
        <v>11</v>
      </c>
      <c r="D740" s="41"/>
    </row>
    <row r="741" spans="1:5" x14ac:dyDescent="0.25">
      <c r="A741" s="421" t="s">
        <v>592</v>
      </c>
      <c r="B741" s="412">
        <f>VLOOKUP(B730,'BANG LUONG 1'!$B$5:$AJ$56,14,0)</f>
        <v>4</v>
      </c>
      <c r="C741" s="421">
        <v>12</v>
      </c>
      <c r="D741" s="41">
        <f>B738/26*B741</f>
        <v>679038.4615384615</v>
      </c>
    </row>
    <row r="742" spans="1:5" x14ac:dyDescent="0.25">
      <c r="A742" s="421" t="s">
        <v>357</v>
      </c>
      <c r="B742" s="412">
        <f>VLOOKUP(B730,'BANG LUONG 1'!$B$5:$AJ$56,15,0)</f>
        <v>32</v>
      </c>
      <c r="C742" s="421">
        <v>13</v>
      </c>
      <c r="D742" s="41">
        <f>B738/26/8*1.5*B742</f>
        <v>1018557.6923076923</v>
      </c>
    </row>
    <row r="743" spans="1:5" x14ac:dyDescent="0.25">
      <c r="A743" s="421" t="s">
        <v>387</v>
      </c>
      <c r="B743" s="412">
        <f>VLOOKUP(B730,'BANG LUONG 1'!$B$5:$AJ$56,16,0)</f>
        <v>8</v>
      </c>
      <c r="C743" s="421">
        <v>14</v>
      </c>
      <c r="D743" s="41">
        <f>B738/26/8*2*B743</f>
        <v>339519.23076923075</v>
      </c>
    </row>
    <row r="744" spans="1:5" x14ac:dyDescent="0.25">
      <c r="A744" s="421" t="s">
        <v>593</v>
      </c>
      <c r="B744" s="412">
        <f>VLOOKUP(B730,'BANG LUONG 1'!$B$5:$AJ$56,17,0)</f>
        <v>1</v>
      </c>
      <c r="C744" s="421"/>
      <c r="D744" s="41">
        <f>(B738/26)*B744</f>
        <v>169759.61538461538</v>
      </c>
    </row>
    <row r="745" spans="1:5" x14ac:dyDescent="0.25">
      <c r="A745" s="421" t="s">
        <v>388</v>
      </c>
      <c r="B745" s="412">
        <f>VLOOKUP(B730,'BANG LUONG 1'!$B$5:$AJ$56,18,0)</f>
        <v>0</v>
      </c>
      <c r="C745" s="421">
        <v>15</v>
      </c>
      <c r="D745" s="41">
        <f>(B738/26*B745)*3</f>
        <v>0</v>
      </c>
    </row>
    <row r="746" spans="1:5" x14ac:dyDescent="0.25">
      <c r="A746" s="421" t="s">
        <v>533</v>
      </c>
      <c r="B746" s="412">
        <f>VLOOKUP(B730,'BANG LUONG 1'!$B$5:$AJ$56,19,0)</f>
        <v>5941586.538461538</v>
      </c>
      <c r="C746" s="183">
        <v>16</v>
      </c>
      <c r="D746" s="185">
        <f>B740+D742+D743+D741+D745+D744</f>
        <v>5941586.5384615371</v>
      </c>
      <c r="E746" s="108"/>
    </row>
    <row r="747" spans="1:5" x14ac:dyDescent="0.25">
      <c r="A747" s="421" t="s">
        <v>535</v>
      </c>
      <c r="B747" s="412">
        <f>VLOOKUP(B730,'BANG LUONG 1'!$B$5:$AJ$56,20,0)</f>
        <v>3676905.41601256</v>
      </c>
      <c r="C747" s="421">
        <v>17</v>
      </c>
      <c r="D747" s="41"/>
    </row>
    <row r="748" spans="1:5" x14ac:dyDescent="0.25">
      <c r="A748" s="421" t="s">
        <v>370</v>
      </c>
      <c r="B748" s="412">
        <f>VLOOKUP(B730,'BANG LUONG 1'!$B$5:$AJ$56,22,0)</f>
        <v>176550</v>
      </c>
      <c r="C748" s="421">
        <v>18</v>
      </c>
      <c r="D748" s="41"/>
    </row>
    <row r="749" spans="1:5" x14ac:dyDescent="0.25">
      <c r="A749" s="421" t="s">
        <v>371</v>
      </c>
      <c r="B749" s="412">
        <f>VLOOKUP(B730,'BANG LUONG 1'!$B$5:$AJ$56,23,0)</f>
        <v>75000</v>
      </c>
      <c r="C749" s="421">
        <v>19</v>
      </c>
      <c r="D749" s="41"/>
    </row>
    <row r="750" spans="1:5" x14ac:dyDescent="0.25">
      <c r="A750" s="421" t="s">
        <v>560</v>
      </c>
      <c r="B750" s="412">
        <f>VLOOKUP(B730,'BANG LUONG 1'!$B$5:$AJ$56,24,0)</f>
        <v>0</v>
      </c>
      <c r="C750" s="421">
        <v>22</v>
      </c>
      <c r="D750" s="41"/>
    </row>
    <row r="751" spans="1:5" x14ac:dyDescent="0.25">
      <c r="A751" s="183" t="s">
        <v>237</v>
      </c>
      <c r="B751" s="415">
        <f>VLOOKUP(B730,'BANG LUONG 1'!$B$5:$AJ$56,26,0)</f>
        <v>9870041.954474099</v>
      </c>
      <c r="C751" s="421">
        <v>24</v>
      </c>
      <c r="D751" s="41"/>
    </row>
    <row r="752" spans="1:5" x14ac:dyDescent="0.25">
      <c r="A752" s="421" t="s">
        <v>545</v>
      </c>
      <c r="B752" s="412">
        <f>VLOOKUP(B730,'BANG LUONG 1'!$B$5:$AJ$56,27,0)</f>
        <v>3500000</v>
      </c>
      <c r="C752" s="421">
        <v>25</v>
      </c>
      <c r="D752" s="41"/>
    </row>
    <row r="753" spans="1:5" x14ac:dyDescent="0.25">
      <c r="A753" s="421" t="s">
        <v>544</v>
      </c>
      <c r="B753" s="412">
        <f>VLOOKUP(B730,'BANG LUONG 1'!$B$5:$AJ$56,28,0)</f>
        <v>480585</v>
      </c>
      <c r="C753" s="421">
        <v>26</v>
      </c>
      <c r="D753" s="41"/>
    </row>
    <row r="754" spans="1:5" x14ac:dyDescent="0.25">
      <c r="A754" s="421" t="s">
        <v>712</v>
      </c>
      <c r="B754" s="415">
        <f>VLOOKUP(B730,'BANG LUONG 1'!$B$5:$AJ$56,32,0)</f>
        <v>0</v>
      </c>
      <c r="C754" s="421"/>
      <c r="D754" s="41"/>
    </row>
    <row r="755" spans="1:5" x14ac:dyDescent="0.25">
      <c r="A755" s="421" t="s">
        <v>713</v>
      </c>
      <c r="B755" s="415">
        <f>VLOOKUP(B730,'BANG LUONG 1'!$B$5:$AJ$56,33,0)</f>
        <v>154000</v>
      </c>
      <c r="C755" s="421"/>
      <c r="D755" s="41"/>
    </row>
    <row r="756" spans="1:5" x14ac:dyDescent="0.25">
      <c r="A756" s="183" t="s">
        <v>707</v>
      </c>
      <c r="B756" s="415">
        <f>VLOOKUP(B730,'BANG LUONG 1'!$B$5:$AJ$56,30,0)</f>
        <v>100000</v>
      </c>
      <c r="C756" s="421"/>
      <c r="D756" s="41"/>
      <c r="E756" s="108" t="str">
        <f>B731</f>
        <v>Nguyễn Văn Lâm</v>
      </c>
    </row>
    <row r="757" spans="1:5" x14ac:dyDescent="0.25">
      <c r="A757" s="183" t="s">
        <v>546</v>
      </c>
      <c r="B757" s="415">
        <f>VLOOKUP(B730,'BANG LUONG 1'!$B$5:$AJ$56,35,0)</f>
        <v>6143000</v>
      </c>
      <c r="C757" s="421"/>
      <c r="D757" s="41"/>
    </row>
    <row r="758" spans="1:5" x14ac:dyDescent="0.25">
      <c r="A758" s="184" t="s">
        <v>549</v>
      </c>
      <c r="B758" s="424">
        <f>'BANG LUONG 1'!$P$3</f>
        <v>43733</v>
      </c>
    </row>
    <row r="759" spans="1:5" x14ac:dyDescent="0.25">
      <c r="A759" s="183" t="s">
        <v>1</v>
      </c>
      <c r="B759" s="185" t="s">
        <v>149</v>
      </c>
      <c r="C759" s="421">
        <v>1</v>
      </c>
      <c r="D759" s="41"/>
    </row>
    <row r="760" spans="1:5" x14ac:dyDescent="0.25">
      <c r="A760" s="183" t="s">
        <v>2</v>
      </c>
      <c r="B760" s="185" t="str">
        <f>VLOOKUP($B759,'BANG LUONG 1'!$B$6:$AB$51,C760,0)</f>
        <v>Lương Minh Tâm</v>
      </c>
      <c r="C760" s="421">
        <v>2</v>
      </c>
      <c r="D760" s="41"/>
    </row>
    <row r="761" spans="1:5" x14ac:dyDescent="0.25">
      <c r="A761" s="421" t="s">
        <v>3</v>
      </c>
      <c r="B761" s="41" t="str">
        <f>VLOOKUP($B759,'BANG LUONG 1'!$B$6:$AJ$51,C761,0)</f>
        <v>Vận hành xe xúc BH</v>
      </c>
      <c r="C761" s="421">
        <v>3</v>
      </c>
      <c r="D761" s="41"/>
    </row>
    <row r="762" spans="1:5" x14ac:dyDescent="0.25">
      <c r="A762" s="421" t="s">
        <v>376</v>
      </c>
      <c r="B762" s="410">
        <f>VLOOKUP($B759,'BANG LUONG 1'!$B$5:$AJ$56,4,0)</f>
        <v>42766</v>
      </c>
      <c r="C762" s="421">
        <v>4</v>
      </c>
      <c r="D762" s="41"/>
    </row>
    <row r="763" spans="1:5" x14ac:dyDescent="0.25">
      <c r="A763" s="421" t="s">
        <v>698</v>
      </c>
      <c r="B763" s="411">
        <f>VLOOKUP(B759,'BANG LUONG 1'!$B$5:$AJ$56,6,0)</f>
        <v>0</v>
      </c>
      <c r="C763" s="421">
        <v>5</v>
      </c>
      <c r="D763" s="41"/>
    </row>
    <row r="764" spans="1:5" x14ac:dyDescent="0.25">
      <c r="A764" s="421" t="s">
        <v>229</v>
      </c>
      <c r="B764" s="412">
        <f>'thang luong moi'!$F$5</f>
        <v>4012500</v>
      </c>
      <c r="C764" s="421">
        <v>6</v>
      </c>
      <c r="D764" s="41"/>
    </row>
    <row r="765" spans="1:5" x14ac:dyDescent="0.25">
      <c r="A765" s="421" t="s">
        <v>217</v>
      </c>
      <c r="B765" s="412" t="str">
        <f>VLOOKUP(B759,'BANG LUONG 1'!$B$5:$AJ$56,8,0)</f>
        <v>B.02</v>
      </c>
      <c r="C765" s="421">
        <v>7</v>
      </c>
      <c r="D765" s="41"/>
    </row>
    <row r="766" spans="1:5" x14ac:dyDescent="0.25">
      <c r="A766" s="421" t="s">
        <v>230</v>
      </c>
      <c r="B766" s="412">
        <f>VLOOKUP(B759,'BANG LUONG 1'!$B$5:$AJ$56,9,0)</f>
        <v>1</v>
      </c>
      <c r="C766" s="421">
        <v>8</v>
      </c>
      <c r="D766" s="41"/>
    </row>
    <row r="767" spans="1:5" x14ac:dyDescent="0.25">
      <c r="A767" s="421" t="s">
        <v>538</v>
      </c>
      <c r="B767" s="412">
        <f>VLOOKUP(B759,'BANG LUONG 1'!$B$5:$AJ$56,11,0)</f>
        <v>4413750</v>
      </c>
      <c r="C767" s="421">
        <v>9</v>
      </c>
      <c r="D767" s="41"/>
    </row>
    <row r="768" spans="1:5" x14ac:dyDescent="0.25">
      <c r="A768" s="421" t="s">
        <v>354</v>
      </c>
      <c r="B768" s="412">
        <f>VLOOKUP(B759,'BANG LUONG 1'!$B$5:$AJ$56,12,0)</f>
        <v>25</v>
      </c>
      <c r="C768" s="421">
        <v>10</v>
      </c>
      <c r="D768" s="41"/>
    </row>
    <row r="769" spans="1:5" x14ac:dyDescent="0.25">
      <c r="A769" s="421" t="s">
        <v>534</v>
      </c>
      <c r="B769" s="412">
        <f>VLOOKUP(B759,'BANG LUONG 1'!$B$5:$AJ$56,13,0)</f>
        <v>4243990.384615384</v>
      </c>
      <c r="C769" s="421">
        <v>11</v>
      </c>
      <c r="D769" s="41"/>
    </row>
    <row r="770" spans="1:5" x14ac:dyDescent="0.25">
      <c r="A770" s="421" t="s">
        <v>592</v>
      </c>
      <c r="B770" s="412">
        <f>VLOOKUP(B759,'BANG LUONG 1'!$B$5:$AJ$56,14,0)</f>
        <v>1</v>
      </c>
      <c r="C770" s="421">
        <v>12</v>
      </c>
      <c r="D770" s="41">
        <f>B767/26*B770</f>
        <v>169759.61538461538</v>
      </c>
    </row>
    <row r="771" spans="1:5" x14ac:dyDescent="0.25">
      <c r="A771" s="421" t="s">
        <v>357</v>
      </c>
      <c r="B771" s="412">
        <f>VLOOKUP(B759,'BANG LUONG 1'!$B$5:$AJ$56,15,0)</f>
        <v>61.5</v>
      </c>
      <c r="C771" s="421">
        <v>13</v>
      </c>
      <c r="D771" s="41">
        <f>B767/26/8*1.5*B771</f>
        <v>1957540.564903846</v>
      </c>
    </row>
    <row r="772" spans="1:5" x14ac:dyDescent="0.25">
      <c r="A772" s="421" t="s">
        <v>387</v>
      </c>
      <c r="B772" s="412">
        <f>VLOOKUP(B759,'BANG LUONG 1'!$B$5:$AJ$56,16,0)</f>
        <v>40</v>
      </c>
      <c r="C772" s="421">
        <v>14</v>
      </c>
      <c r="D772" s="41">
        <f>B767/26/8*2*B772</f>
        <v>1697596.1538461538</v>
      </c>
    </row>
    <row r="773" spans="1:5" x14ac:dyDescent="0.25">
      <c r="A773" s="421" t="s">
        <v>593</v>
      </c>
      <c r="B773" s="412">
        <f>VLOOKUP(B759,'BANG LUONG 1'!$B$5:$AJ$56,17,0)</f>
        <v>1</v>
      </c>
      <c r="C773" s="421"/>
      <c r="D773" s="41">
        <f>(B767/26)*B773</f>
        <v>169759.61538461538</v>
      </c>
    </row>
    <row r="774" spans="1:5" x14ac:dyDescent="0.25">
      <c r="A774" s="421" t="s">
        <v>388</v>
      </c>
      <c r="B774" s="412">
        <f>VLOOKUP(B759,'BANG LUONG 1'!$B$5:$AJ$56,18,0)</f>
        <v>0</v>
      </c>
      <c r="C774" s="421">
        <v>15</v>
      </c>
      <c r="D774" s="41">
        <f>(B767/26*B774)*3</f>
        <v>0</v>
      </c>
    </row>
    <row r="775" spans="1:5" x14ac:dyDescent="0.25">
      <c r="A775" s="421" t="s">
        <v>533</v>
      </c>
      <c r="B775" s="412">
        <f>VLOOKUP(B759,'BANG LUONG 1'!$B$5:$AJ$56,19,0)</f>
        <v>8238646.3341346141</v>
      </c>
      <c r="C775" s="183">
        <v>16</v>
      </c>
      <c r="D775" s="185">
        <f>B769+D771+D772+D770+D774+D773</f>
        <v>8238646.3341346141</v>
      </c>
      <c r="E775" s="108"/>
    </row>
    <row r="776" spans="1:5" x14ac:dyDescent="0.25">
      <c r="A776" s="421" t="s">
        <v>535</v>
      </c>
      <c r="B776" s="412">
        <f>VLOOKUP(B759,'BANG LUONG 1'!$B$5:$AJ$56,20,0)</f>
        <v>6448405.2197802216</v>
      </c>
      <c r="C776" s="421">
        <v>17</v>
      </c>
      <c r="D776" s="41"/>
    </row>
    <row r="777" spans="1:5" x14ac:dyDescent="0.25">
      <c r="A777" s="421" t="s">
        <v>370</v>
      </c>
      <c r="B777" s="412">
        <f>VLOOKUP(B759,'BANG LUONG 1'!$B$5:$AJ$56,22,0)</f>
        <v>0</v>
      </c>
      <c r="C777" s="421">
        <v>18</v>
      </c>
      <c r="D777" s="41"/>
    </row>
    <row r="778" spans="1:5" x14ac:dyDescent="0.25">
      <c r="A778" s="421" t="s">
        <v>371</v>
      </c>
      <c r="B778" s="412">
        <f>VLOOKUP(B759,'BANG LUONG 1'!$B$5:$AJ$56,23,0)</f>
        <v>300000</v>
      </c>
      <c r="C778" s="421">
        <v>19</v>
      </c>
      <c r="D778" s="41"/>
    </row>
    <row r="779" spans="1:5" x14ac:dyDescent="0.25">
      <c r="A779" s="421" t="s">
        <v>560</v>
      </c>
      <c r="B779" s="412">
        <f>VLOOKUP(B759,'BANG LUONG 1'!$B$5:$AJ$56,24,0)</f>
        <v>0</v>
      </c>
      <c r="C779" s="421">
        <v>22</v>
      </c>
      <c r="D779" s="41"/>
    </row>
    <row r="780" spans="1:5" x14ac:dyDescent="0.25">
      <c r="A780" s="183" t="s">
        <v>237</v>
      </c>
      <c r="B780" s="415">
        <f>VLOOKUP(B759,'BANG LUONG 1'!$B$5:$AJ$56,26,0)</f>
        <v>14987051.553914836</v>
      </c>
      <c r="C780" s="421">
        <v>24</v>
      </c>
      <c r="D780" s="41"/>
    </row>
    <row r="781" spans="1:5" x14ac:dyDescent="0.25">
      <c r="A781" s="421" t="s">
        <v>545</v>
      </c>
      <c r="B781" s="412">
        <f>VLOOKUP(B759,'BANG LUONG 1'!$B$5:$AJ$56,27,0)</f>
        <v>4000000</v>
      </c>
      <c r="C781" s="421">
        <v>25</v>
      </c>
      <c r="D781" s="41"/>
    </row>
    <row r="782" spans="1:5" x14ac:dyDescent="0.25">
      <c r="A782" s="421" t="s">
        <v>544</v>
      </c>
      <c r="B782" s="412">
        <f>VLOOKUP(B759,'BANG LUONG 1'!$B$5:$AJ$56,28,0)</f>
        <v>480585</v>
      </c>
      <c r="C782" s="421">
        <v>26</v>
      </c>
      <c r="D782" s="41"/>
    </row>
    <row r="783" spans="1:5" x14ac:dyDescent="0.25">
      <c r="A783" s="421" t="s">
        <v>712</v>
      </c>
      <c r="B783" s="415">
        <f>VLOOKUP(B759,'BANG LUONG 1'!$B$5:$AJ$56,32,0)</f>
        <v>0</v>
      </c>
      <c r="C783" s="421"/>
      <c r="D783" s="41"/>
    </row>
    <row r="784" spans="1:5" x14ac:dyDescent="0.25">
      <c r="A784" s="421" t="s">
        <v>713</v>
      </c>
      <c r="B784" s="415">
        <f>VLOOKUP(B759,'BANG LUONG 1'!$B$5:$AJ$56,33,0)</f>
        <v>286000</v>
      </c>
      <c r="C784" s="421"/>
      <c r="D784" s="41"/>
    </row>
    <row r="785" spans="1:5" x14ac:dyDescent="0.25">
      <c r="A785" s="183" t="s">
        <v>707</v>
      </c>
      <c r="B785" s="415">
        <f>VLOOKUP(B759,'BANG LUONG 1'!$B$5:$AJ$56,30,0)</f>
        <v>100000</v>
      </c>
      <c r="C785" s="421"/>
      <c r="D785" s="41"/>
      <c r="E785" s="108" t="str">
        <f>B760</f>
        <v>Lương Minh Tâm</v>
      </c>
    </row>
    <row r="786" spans="1:5" x14ac:dyDescent="0.25">
      <c r="A786" s="183" t="s">
        <v>546</v>
      </c>
      <c r="B786" s="415">
        <f>VLOOKUP(B759,'BANG LUONG 1'!$B$5:$AJ$56,35,0)</f>
        <v>10892000</v>
      </c>
      <c r="C786" s="421"/>
      <c r="D786" s="41"/>
    </row>
    <row r="787" spans="1:5" x14ac:dyDescent="0.25">
      <c r="A787" s="184" t="s">
        <v>549</v>
      </c>
      <c r="B787" s="424">
        <f>'BANG LUONG 1'!$P$3</f>
        <v>43733</v>
      </c>
    </row>
    <row r="788" spans="1:5" x14ac:dyDescent="0.25">
      <c r="A788" s="183" t="s">
        <v>1</v>
      </c>
      <c r="B788" s="185" t="s">
        <v>150</v>
      </c>
      <c r="C788" s="421">
        <v>1</v>
      </c>
      <c r="D788" s="41"/>
    </row>
    <row r="789" spans="1:5" x14ac:dyDescent="0.25">
      <c r="A789" s="183" t="s">
        <v>2</v>
      </c>
      <c r="B789" s="185" t="str">
        <f>VLOOKUP($B788,'BANG LUONG 1'!$B$6:$AB$51,C789,0)</f>
        <v>Nguyễn Thành Tài</v>
      </c>
      <c r="C789" s="421">
        <v>2</v>
      </c>
      <c r="D789" s="41"/>
    </row>
    <row r="790" spans="1:5" x14ac:dyDescent="0.25">
      <c r="A790" s="421" t="s">
        <v>3</v>
      </c>
      <c r="B790" s="41" t="str">
        <f>VLOOKUP($B788,'BANG LUONG 1'!$B$6:$AJ$51,C790,0)</f>
        <v>Lái xe nâng</v>
      </c>
      <c r="C790" s="421">
        <v>3</v>
      </c>
      <c r="D790" s="41"/>
    </row>
    <row r="791" spans="1:5" x14ac:dyDescent="0.25">
      <c r="A791" s="421" t="s">
        <v>376</v>
      </c>
      <c r="B791" s="410">
        <f>VLOOKUP($B788,'BANG LUONG 1'!$B$5:$AJ$56,4,0)</f>
        <v>42415</v>
      </c>
      <c r="C791" s="421">
        <v>4</v>
      </c>
      <c r="D791" s="41"/>
    </row>
    <row r="792" spans="1:5" x14ac:dyDescent="0.25">
      <c r="A792" s="421" t="s">
        <v>698</v>
      </c>
      <c r="B792" s="411">
        <f>VLOOKUP(B788,'BANG LUONG 1'!$B$5:$AJ$56,6,0)</f>
        <v>0.03</v>
      </c>
      <c r="C792" s="421">
        <v>5</v>
      </c>
      <c r="D792" s="41"/>
    </row>
    <row r="793" spans="1:5" x14ac:dyDescent="0.25">
      <c r="A793" s="421" t="s">
        <v>229</v>
      </c>
      <c r="B793" s="412">
        <f>'thang luong moi'!$F$5</f>
        <v>4012500</v>
      </c>
      <c r="C793" s="421">
        <v>6</v>
      </c>
      <c r="D793" s="41"/>
    </row>
    <row r="794" spans="1:5" x14ac:dyDescent="0.25">
      <c r="A794" s="421" t="s">
        <v>217</v>
      </c>
      <c r="B794" s="412" t="str">
        <f>VLOOKUP(B788,'BANG LUONG 1'!$B$5:$AJ$56,8,0)</f>
        <v>B.02</v>
      </c>
      <c r="C794" s="421">
        <v>7</v>
      </c>
      <c r="D794" s="41"/>
    </row>
    <row r="795" spans="1:5" x14ac:dyDescent="0.25">
      <c r="A795" s="421" t="s">
        <v>230</v>
      </c>
      <c r="B795" s="412">
        <f>VLOOKUP(B788,'BANG LUONG 1'!$B$5:$AJ$56,9,0)</f>
        <v>1</v>
      </c>
      <c r="C795" s="421">
        <v>8</v>
      </c>
      <c r="D795" s="41"/>
    </row>
    <row r="796" spans="1:5" x14ac:dyDescent="0.25">
      <c r="A796" s="421" t="s">
        <v>538</v>
      </c>
      <c r="B796" s="412">
        <f>VLOOKUP(B788,'BANG LUONG 1'!$B$5:$AJ$56,11,0)</f>
        <v>4413750</v>
      </c>
      <c r="C796" s="421">
        <v>9</v>
      </c>
      <c r="D796" s="41"/>
    </row>
    <row r="797" spans="1:5" x14ac:dyDescent="0.25">
      <c r="A797" s="421" t="s">
        <v>354</v>
      </c>
      <c r="B797" s="412">
        <f>VLOOKUP(B788,'BANG LUONG 1'!$B$5:$AJ$56,12,0)</f>
        <v>26</v>
      </c>
      <c r="C797" s="421">
        <v>10</v>
      </c>
      <c r="D797" s="41"/>
    </row>
    <row r="798" spans="1:5" x14ac:dyDescent="0.25">
      <c r="A798" s="421" t="s">
        <v>534</v>
      </c>
      <c r="B798" s="412">
        <f>VLOOKUP(B788,'BANG LUONG 1'!$B$5:$AJ$56,13,0)</f>
        <v>4413750</v>
      </c>
      <c r="C798" s="421">
        <v>11</v>
      </c>
      <c r="D798" s="41"/>
    </row>
    <row r="799" spans="1:5" x14ac:dyDescent="0.25">
      <c r="A799" s="421" t="s">
        <v>592</v>
      </c>
      <c r="B799" s="412">
        <f>VLOOKUP(B788,'BANG LUONG 1'!$B$5:$AJ$56,14,0)</f>
        <v>0</v>
      </c>
      <c r="C799" s="421">
        <v>12</v>
      </c>
      <c r="D799" s="41">
        <f>B796/26*B799</f>
        <v>0</v>
      </c>
    </row>
    <row r="800" spans="1:5" x14ac:dyDescent="0.25">
      <c r="A800" s="421" t="s">
        <v>357</v>
      </c>
      <c r="B800" s="412">
        <f>VLOOKUP(B788,'BANG LUONG 1'!$B$5:$AJ$56,15,0)</f>
        <v>32</v>
      </c>
      <c r="C800" s="421">
        <v>13</v>
      </c>
      <c r="D800" s="41">
        <f>B796/26/8*1.5*B800</f>
        <v>1018557.6923076923</v>
      </c>
    </row>
    <row r="801" spans="1:5" x14ac:dyDescent="0.25">
      <c r="A801" s="421" t="s">
        <v>387</v>
      </c>
      <c r="B801" s="412">
        <f>VLOOKUP(B788,'BANG LUONG 1'!$B$5:$AJ$56,16,0)</f>
        <v>0</v>
      </c>
      <c r="C801" s="421">
        <v>14</v>
      </c>
      <c r="D801" s="41">
        <f>B796/26/8*2*B801</f>
        <v>0</v>
      </c>
    </row>
    <row r="802" spans="1:5" x14ac:dyDescent="0.25">
      <c r="A802" s="421" t="s">
        <v>593</v>
      </c>
      <c r="B802" s="412">
        <f>VLOOKUP(B788,'BANG LUONG 1'!$B$5:$AJ$56,17,0)</f>
        <v>1</v>
      </c>
      <c r="C802" s="421"/>
      <c r="D802" s="41">
        <f>(B796/26)*B802</f>
        <v>169759.61538461538</v>
      </c>
    </row>
    <row r="803" spans="1:5" x14ac:dyDescent="0.25">
      <c r="A803" s="421" t="s">
        <v>388</v>
      </c>
      <c r="B803" s="412">
        <f>VLOOKUP(B788,'BANG LUONG 1'!$B$5:$AJ$56,18,0)</f>
        <v>0</v>
      </c>
      <c r="C803" s="421">
        <v>15</v>
      </c>
      <c r="D803" s="41">
        <f>(B796/26*B803)*3</f>
        <v>0</v>
      </c>
    </row>
    <row r="804" spans="1:5" x14ac:dyDescent="0.25">
      <c r="A804" s="421" t="s">
        <v>533</v>
      </c>
      <c r="B804" s="412">
        <f>VLOOKUP(B788,'BANG LUONG 1'!$B$5:$AJ$56,19,0)</f>
        <v>5602067.307692307</v>
      </c>
      <c r="C804" s="183">
        <v>16</v>
      </c>
      <c r="D804" s="185">
        <f>B798+D800+D801+D799+D803+D802</f>
        <v>5602067.307692307</v>
      </c>
      <c r="E804" s="108"/>
    </row>
    <row r="805" spans="1:5" x14ac:dyDescent="0.25">
      <c r="A805" s="421" t="s">
        <v>535</v>
      </c>
      <c r="B805" s="412">
        <f>VLOOKUP(B788,'BANG LUONG 1'!$B$5:$AJ$56,20,0)</f>
        <v>3245224.3589743599</v>
      </c>
      <c r="C805" s="421">
        <v>17</v>
      </c>
      <c r="D805" s="41"/>
    </row>
    <row r="806" spans="1:5" x14ac:dyDescent="0.25">
      <c r="A806" s="421" t="s">
        <v>370</v>
      </c>
      <c r="B806" s="412">
        <f>VLOOKUP(B788,'BANG LUONG 1'!$B$5:$AJ$56,22,0)</f>
        <v>132412.5</v>
      </c>
      <c r="C806" s="421">
        <v>18</v>
      </c>
      <c r="D806" s="41"/>
    </row>
    <row r="807" spans="1:5" x14ac:dyDescent="0.25">
      <c r="A807" s="421" t="s">
        <v>371</v>
      </c>
      <c r="B807" s="412">
        <f>VLOOKUP(B788,'BANG LUONG 1'!$B$5:$AJ$56,23,0)</f>
        <v>300000</v>
      </c>
      <c r="C807" s="421">
        <v>19</v>
      </c>
      <c r="D807" s="41"/>
    </row>
    <row r="808" spans="1:5" x14ac:dyDescent="0.25">
      <c r="A808" s="421" t="s">
        <v>560</v>
      </c>
      <c r="B808" s="412">
        <f>VLOOKUP(B788,'BANG LUONG 1'!$B$5:$AJ$56,24,0)</f>
        <v>0</v>
      </c>
      <c r="C808" s="421">
        <v>22</v>
      </c>
      <c r="D808" s="41"/>
    </row>
    <row r="809" spans="1:5" x14ac:dyDescent="0.25">
      <c r="A809" s="183" t="s">
        <v>237</v>
      </c>
      <c r="B809" s="415">
        <f>VLOOKUP(B788,'BANG LUONG 1'!$B$5:$AJ$56,26,0)</f>
        <v>9279704.1666666679</v>
      </c>
      <c r="C809" s="421">
        <v>24</v>
      </c>
      <c r="D809" s="41"/>
    </row>
    <row r="810" spans="1:5" x14ac:dyDescent="0.25">
      <c r="A810" s="421" t="s">
        <v>545</v>
      </c>
      <c r="B810" s="412">
        <f>VLOOKUP(B788,'BANG LUONG 1'!$B$5:$AJ$56,27,0)</f>
        <v>0</v>
      </c>
      <c r="C810" s="421">
        <v>25</v>
      </c>
      <c r="D810" s="41"/>
    </row>
    <row r="811" spans="1:5" x14ac:dyDescent="0.25">
      <c r="A811" s="421" t="s">
        <v>544</v>
      </c>
      <c r="B811" s="412">
        <f>VLOOKUP(B788,'BANG LUONG 1'!$B$5:$AJ$56,28,0)</f>
        <v>480585</v>
      </c>
      <c r="C811" s="421">
        <v>26</v>
      </c>
      <c r="D811" s="41"/>
    </row>
    <row r="812" spans="1:5" x14ac:dyDescent="0.25">
      <c r="A812" s="421" t="s">
        <v>712</v>
      </c>
      <c r="B812" s="415">
        <f>VLOOKUP(B788,'BANG LUONG 1'!$B$5:$AJ$56,32,0)</f>
        <v>0</v>
      </c>
      <c r="C812" s="421"/>
      <c r="D812" s="41"/>
    </row>
    <row r="813" spans="1:5" x14ac:dyDescent="0.25">
      <c r="A813" s="421" t="s">
        <v>713</v>
      </c>
      <c r="B813" s="415">
        <f>VLOOKUP(B788,'BANG LUONG 1'!$B$5:$AJ$56,33,0)</f>
        <v>66000</v>
      </c>
      <c r="C813" s="421"/>
      <c r="D813" s="41"/>
    </row>
    <row r="814" spans="1:5" x14ac:dyDescent="0.25">
      <c r="A814" s="183" t="s">
        <v>707</v>
      </c>
      <c r="B814" s="415">
        <f>VLOOKUP(B788,'BANG LUONG 1'!$B$5:$AJ$56,30,0)</f>
        <v>100000</v>
      </c>
      <c r="C814" s="421"/>
      <c r="D814" s="41"/>
      <c r="E814" s="108" t="str">
        <f>B789</f>
        <v>Nguyễn Thành Tài</v>
      </c>
    </row>
    <row r="815" spans="1:5" x14ac:dyDescent="0.25">
      <c r="A815" s="183" t="s">
        <v>546</v>
      </c>
      <c r="B815" s="415">
        <f>VLOOKUP(B788,'BANG LUONG 1'!$B$5:$AJ$56,35,0)</f>
        <v>8965000</v>
      </c>
      <c r="C815" s="421"/>
      <c r="D815" s="41"/>
    </row>
    <row r="816" spans="1:5" x14ac:dyDescent="0.25">
      <c r="A816" s="184" t="s">
        <v>549</v>
      </c>
      <c r="B816" s="424">
        <f>'BANG LUONG 1'!$P$3</f>
        <v>43733</v>
      </c>
    </row>
    <row r="817" spans="1:4" x14ac:dyDescent="0.25">
      <c r="A817" s="183" t="s">
        <v>1</v>
      </c>
      <c r="B817" s="185" t="s">
        <v>151</v>
      </c>
      <c r="C817" s="421">
        <v>1</v>
      </c>
      <c r="D817" s="41"/>
    </row>
    <row r="818" spans="1:4" x14ac:dyDescent="0.25">
      <c r="A818" s="183" t="s">
        <v>2</v>
      </c>
      <c r="B818" s="185" t="str">
        <f>VLOOKUP($B817,'BANG LUONG 1'!$B$6:$AB$51,C818,0)</f>
        <v>Nguyễn Văn Mèo</v>
      </c>
      <c r="C818" s="421">
        <v>2</v>
      </c>
      <c r="D818" s="41"/>
    </row>
    <row r="819" spans="1:4" x14ac:dyDescent="0.25">
      <c r="A819" s="421" t="s">
        <v>3</v>
      </c>
      <c r="B819" s="41" t="str">
        <f>VLOOKUP($B817,'BANG LUONG 1'!$B$6:$AJ$51,C819,0)</f>
        <v>Công nhân</v>
      </c>
      <c r="C819" s="421">
        <v>3</v>
      </c>
      <c r="D819" s="41"/>
    </row>
    <row r="820" spans="1:4" x14ac:dyDescent="0.25">
      <c r="A820" s="421" t="s">
        <v>376</v>
      </c>
      <c r="B820" s="410">
        <f>VLOOKUP($B817,'BANG LUONG 1'!$B$5:$AJ$56,4,0)</f>
        <v>43177</v>
      </c>
      <c r="C820" s="421">
        <v>4</v>
      </c>
      <c r="D820" s="41"/>
    </row>
    <row r="821" spans="1:4" x14ac:dyDescent="0.25">
      <c r="A821" s="421" t="s">
        <v>698</v>
      </c>
      <c r="B821" s="411">
        <f>VLOOKUP(B817,'BANG LUONG 1'!$B$5:$AJ$56,6,0)</f>
        <v>0</v>
      </c>
      <c r="C821" s="421">
        <v>5</v>
      </c>
      <c r="D821" s="41"/>
    </row>
    <row r="822" spans="1:4" x14ac:dyDescent="0.25">
      <c r="A822" s="421" t="s">
        <v>229</v>
      </c>
      <c r="B822" s="412">
        <f>'thang luong moi'!$F$5</f>
        <v>4012500</v>
      </c>
      <c r="C822" s="421">
        <v>6</v>
      </c>
      <c r="D822" s="41"/>
    </row>
    <row r="823" spans="1:4" x14ac:dyDescent="0.25">
      <c r="A823" s="421" t="s">
        <v>217</v>
      </c>
      <c r="B823" s="412" t="str">
        <f>VLOOKUP(B817,'BANG LUONG 1'!$B$5:$AJ$56,8,0)</f>
        <v>B.05</v>
      </c>
      <c r="C823" s="421">
        <v>7</v>
      </c>
      <c r="D823" s="41"/>
    </row>
    <row r="824" spans="1:4" x14ac:dyDescent="0.25">
      <c r="A824" s="421" t="s">
        <v>230</v>
      </c>
      <c r="B824" s="412">
        <f>VLOOKUP(B817,'BANG LUONG 1'!$B$5:$AJ$56,9,0)</f>
        <v>1</v>
      </c>
      <c r="C824" s="421">
        <v>8</v>
      </c>
      <c r="D824" s="41"/>
    </row>
    <row r="825" spans="1:4" x14ac:dyDescent="0.25">
      <c r="A825" s="421" t="s">
        <v>538</v>
      </c>
      <c r="B825" s="412">
        <f>VLOOKUP(B817,'BANG LUONG 1'!$B$5:$AJ$56,11,0)</f>
        <v>4213125</v>
      </c>
      <c r="C825" s="421">
        <v>9</v>
      </c>
      <c r="D825" s="41"/>
    </row>
    <row r="826" spans="1:4" x14ac:dyDescent="0.25">
      <c r="A826" s="421" t="s">
        <v>354</v>
      </c>
      <c r="B826" s="412">
        <f>VLOOKUP(B817,'BANG LUONG 1'!$B$5:$AJ$56,12,0)</f>
        <v>24</v>
      </c>
      <c r="C826" s="421">
        <v>10</v>
      </c>
      <c r="D826" s="41"/>
    </row>
    <row r="827" spans="1:4" x14ac:dyDescent="0.25">
      <c r="A827" s="421" t="s">
        <v>534</v>
      </c>
      <c r="B827" s="412">
        <f>VLOOKUP(B817,'BANG LUONG 1'!$B$5:$AJ$56,13,0)</f>
        <v>3889038.461538461</v>
      </c>
      <c r="C827" s="421">
        <v>11</v>
      </c>
      <c r="D827" s="41"/>
    </row>
    <row r="828" spans="1:4" x14ac:dyDescent="0.25">
      <c r="A828" s="421" t="s">
        <v>592</v>
      </c>
      <c r="B828" s="412">
        <f>VLOOKUP(B817,'BANG LUONG 1'!$B$5:$AJ$56,14,0)</f>
        <v>0.5</v>
      </c>
      <c r="C828" s="421">
        <v>12</v>
      </c>
      <c r="D828" s="41">
        <f>B825/26*B828</f>
        <v>81021.63461538461</v>
      </c>
    </row>
    <row r="829" spans="1:4" x14ac:dyDescent="0.25">
      <c r="A829" s="421" t="s">
        <v>357</v>
      </c>
      <c r="B829" s="412">
        <f>VLOOKUP(B817,'BANG LUONG 1'!$B$5:$AJ$56,15,0)</f>
        <v>123.5</v>
      </c>
      <c r="C829" s="421">
        <v>13</v>
      </c>
      <c r="D829" s="41">
        <f>B825/26/8*1.5*B829</f>
        <v>3752314.4531249995</v>
      </c>
    </row>
    <row r="830" spans="1:4" x14ac:dyDescent="0.25">
      <c r="A830" s="421" t="s">
        <v>387</v>
      </c>
      <c r="B830" s="412">
        <f>VLOOKUP(B817,'BANG LUONG 1'!$B$5:$AJ$56,16,0)</f>
        <v>12</v>
      </c>
      <c r="C830" s="421">
        <v>14</v>
      </c>
      <c r="D830" s="41">
        <f>B825/26/8*2*B830</f>
        <v>486129.80769230763</v>
      </c>
    </row>
    <row r="831" spans="1:4" x14ac:dyDescent="0.25">
      <c r="A831" s="421" t="s">
        <v>593</v>
      </c>
      <c r="B831" s="412">
        <f>VLOOKUP(B817,'BANG LUONG 1'!$B$5:$AJ$56,17,0)</f>
        <v>1</v>
      </c>
      <c r="C831" s="421"/>
      <c r="D831" s="41">
        <f>(B825/26)*B831</f>
        <v>162043.26923076922</v>
      </c>
    </row>
    <row r="832" spans="1:4" x14ac:dyDescent="0.25">
      <c r="A832" s="421" t="s">
        <v>388</v>
      </c>
      <c r="B832" s="412">
        <f>VLOOKUP(B817,'BANG LUONG 1'!$B$5:$AJ$56,18,0)</f>
        <v>0</v>
      </c>
      <c r="C832" s="421">
        <v>15</v>
      </c>
      <c r="D832" s="41">
        <f>(B825/26*B832)*3</f>
        <v>0</v>
      </c>
    </row>
    <row r="833" spans="1:5" x14ac:dyDescent="0.25">
      <c r="A833" s="421" t="s">
        <v>533</v>
      </c>
      <c r="B833" s="412">
        <f>VLOOKUP(B817,'BANG LUONG 1'!$B$5:$AJ$56,19,0)</f>
        <v>8370547.6262019221</v>
      </c>
      <c r="C833" s="183">
        <v>16</v>
      </c>
      <c r="D833" s="185">
        <f>B827+D829+D830+D828+D832+D831</f>
        <v>8370547.6262019221</v>
      </c>
      <c r="E833" s="108"/>
    </row>
    <row r="834" spans="1:5" x14ac:dyDescent="0.25">
      <c r="A834" s="421" t="s">
        <v>535</v>
      </c>
      <c r="B834" s="412">
        <f>VLOOKUP(B817,'BANG LUONG 1'!$B$5:$AJ$56,20,0)</f>
        <v>5309045.8202511771</v>
      </c>
      <c r="C834" s="421">
        <v>17</v>
      </c>
      <c r="D834" s="41"/>
    </row>
    <row r="835" spans="1:5" x14ac:dyDescent="0.25">
      <c r="A835" s="421" t="s">
        <v>370</v>
      </c>
      <c r="B835" s="412">
        <f>VLOOKUP(B817,'BANG LUONG 1'!$B$5:$AJ$56,22,0)</f>
        <v>0</v>
      </c>
      <c r="C835" s="421">
        <v>18</v>
      </c>
      <c r="D835" s="41"/>
    </row>
    <row r="836" spans="1:5" x14ac:dyDescent="0.25">
      <c r="A836" s="421" t="s">
        <v>371</v>
      </c>
      <c r="B836" s="412">
        <f>VLOOKUP(B817,'BANG LUONG 1'!$B$5:$AJ$56,23,0)</f>
        <v>300000</v>
      </c>
      <c r="C836" s="421">
        <v>19</v>
      </c>
      <c r="D836" s="41"/>
    </row>
    <row r="837" spans="1:5" x14ac:dyDescent="0.25">
      <c r="A837" s="421" t="s">
        <v>560</v>
      </c>
      <c r="B837" s="412">
        <f>VLOOKUP(B817,'BANG LUONG 1'!$B$5:$AJ$56,24,0)</f>
        <v>0</v>
      </c>
      <c r="C837" s="421">
        <v>22</v>
      </c>
      <c r="D837" s="41"/>
    </row>
    <row r="838" spans="1:5" x14ac:dyDescent="0.25">
      <c r="A838" s="183" t="s">
        <v>237</v>
      </c>
      <c r="B838" s="415">
        <f>VLOOKUP(B817,'BANG LUONG 1'!$B$5:$AJ$56,26,0)</f>
        <v>13979593.446453098</v>
      </c>
      <c r="C838" s="421">
        <v>24</v>
      </c>
      <c r="D838" s="41"/>
    </row>
    <row r="839" spans="1:5" x14ac:dyDescent="0.25">
      <c r="A839" s="421" t="s">
        <v>545</v>
      </c>
      <c r="B839" s="412">
        <f>VLOOKUP(B817,'BANG LUONG 1'!$B$5:$AJ$56,27,0)</f>
        <v>4000000</v>
      </c>
      <c r="C839" s="421">
        <v>25</v>
      </c>
      <c r="D839" s="41"/>
    </row>
    <row r="840" spans="1:5" x14ac:dyDescent="0.25">
      <c r="A840" s="421" t="s">
        <v>544</v>
      </c>
      <c r="B840" s="412">
        <f>VLOOKUP(B817,'BANG LUONG 1'!$B$5:$AJ$56,28,0)</f>
        <v>480585</v>
      </c>
      <c r="C840" s="421">
        <v>26</v>
      </c>
      <c r="D840" s="41"/>
    </row>
    <row r="841" spans="1:5" x14ac:dyDescent="0.25">
      <c r="A841" s="421" t="s">
        <v>712</v>
      </c>
      <c r="B841" s="415">
        <f>VLOOKUP(B817,'BANG LUONG 1'!$B$5:$AJ$56,32,0)</f>
        <v>0</v>
      </c>
      <c r="C841" s="421"/>
      <c r="D841" s="41"/>
    </row>
    <row r="842" spans="1:5" x14ac:dyDescent="0.25">
      <c r="A842" s="421" t="s">
        <v>713</v>
      </c>
      <c r="B842" s="415">
        <f>VLOOKUP(B817,'BANG LUONG 1'!$B$5:$AJ$56,33,0)</f>
        <v>264000</v>
      </c>
      <c r="C842" s="421"/>
      <c r="D842" s="41"/>
    </row>
    <row r="843" spans="1:5" x14ac:dyDescent="0.25">
      <c r="A843" s="183" t="s">
        <v>707</v>
      </c>
      <c r="B843" s="415">
        <f>VLOOKUP(B817,'BANG LUONG 1'!$B$5:$AJ$56,30,0)</f>
        <v>100000</v>
      </c>
      <c r="C843" s="421"/>
      <c r="D843" s="41"/>
      <c r="E843" s="108" t="str">
        <f>B818</f>
        <v>Nguyễn Văn Mèo</v>
      </c>
    </row>
    <row r="844" spans="1:5" x14ac:dyDescent="0.25">
      <c r="A844" s="183" t="s">
        <v>546</v>
      </c>
      <c r="B844" s="415">
        <f>VLOOKUP(B817,'BANG LUONG 1'!$B$5:$AJ$56,35,0)</f>
        <v>9863000</v>
      </c>
      <c r="C844" s="421"/>
      <c r="D844" s="41"/>
    </row>
    <row r="845" spans="1:5" x14ac:dyDescent="0.25">
      <c r="A845" s="184" t="s">
        <v>549</v>
      </c>
      <c r="B845" s="424">
        <f>'BANG LUONG 1'!$P$3</f>
        <v>43733</v>
      </c>
    </row>
    <row r="846" spans="1:5" x14ac:dyDescent="0.25">
      <c r="A846" s="183" t="s">
        <v>1</v>
      </c>
      <c r="B846" s="185" t="s">
        <v>152</v>
      </c>
      <c r="C846" s="421">
        <v>1</v>
      </c>
      <c r="D846" s="41"/>
    </row>
    <row r="847" spans="1:5" x14ac:dyDescent="0.25">
      <c r="A847" s="183" t="s">
        <v>2</v>
      </c>
      <c r="B847" s="185" t="str">
        <f>VLOOKUP($B846,'BANG LUONG 1'!$B$6:$AB$51,C847,0)</f>
        <v>Nguyễn Văn Phụng</v>
      </c>
      <c r="C847" s="421">
        <v>2</v>
      </c>
      <c r="D847" s="41"/>
    </row>
    <row r="848" spans="1:5" x14ac:dyDescent="0.25">
      <c r="A848" s="421" t="s">
        <v>3</v>
      </c>
      <c r="B848" s="41" t="str">
        <f>VLOOKUP($B846,'BANG LUONG 1'!$B$6:$AJ$51,C848,0)</f>
        <v xml:space="preserve">Công nhân </v>
      </c>
      <c r="C848" s="421">
        <v>3</v>
      </c>
      <c r="D848" s="41"/>
    </row>
    <row r="849" spans="1:5" x14ac:dyDescent="0.25">
      <c r="A849" s="421" t="s">
        <v>376</v>
      </c>
      <c r="B849" s="410">
        <f>VLOOKUP($B846,'BANG LUONG 1'!$B$5:$AJ$56,4,0)</f>
        <v>41786</v>
      </c>
      <c r="C849" s="421">
        <v>4</v>
      </c>
      <c r="D849" s="41"/>
    </row>
    <row r="850" spans="1:5" x14ac:dyDescent="0.25">
      <c r="A850" s="421" t="s">
        <v>698</v>
      </c>
      <c r="B850" s="411">
        <f>VLOOKUP(B846,'BANG LUONG 1'!$B$5:$AJ$56,6,0)</f>
        <v>0.05</v>
      </c>
      <c r="C850" s="421">
        <v>5</v>
      </c>
      <c r="D850" s="41"/>
    </row>
    <row r="851" spans="1:5" x14ac:dyDescent="0.25">
      <c r="A851" s="421" t="s">
        <v>229</v>
      </c>
      <c r="B851" s="412">
        <f>'thang luong moi'!$F$5</f>
        <v>4012500</v>
      </c>
      <c r="C851" s="421">
        <v>6</v>
      </c>
      <c r="D851" s="41"/>
    </row>
    <row r="852" spans="1:5" x14ac:dyDescent="0.25">
      <c r="A852" s="421" t="s">
        <v>217</v>
      </c>
      <c r="B852" s="412" t="str">
        <f>VLOOKUP(B846,'BANG LUONG 1'!$B$5:$AJ$56,8,0)</f>
        <v>B.05</v>
      </c>
      <c r="C852" s="421">
        <v>7</v>
      </c>
      <c r="D852" s="41"/>
    </row>
    <row r="853" spans="1:5" x14ac:dyDescent="0.25">
      <c r="A853" s="421" t="s">
        <v>230</v>
      </c>
      <c r="B853" s="412">
        <f>VLOOKUP(B846,'BANG LUONG 1'!$B$5:$AJ$56,9,0)</f>
        <v>1</v>
      </c>
      <c r="C853" s="421">
        <v>8</v>
      </c>
      <c r="D853" s="41"/>
    </row>
    <row r="854" spans="1:5" x14ac:dyDescent="0.25">
      <c r="A854" s="421" t="s">
        <v>538</v>
      </c>
      <c r="B854" s="412">
        <f>VLOOKUP(B846,'BANG LUONG 1'!$B$5:$AJ$56,11,0)</f>
        <v>4213125</v>
      </c>
      <c r="C854" s="421">
        <v>9</v>
      </c>
      <c r="D854" s="41"/>
    </row>
    <row r="855" spans="1:5" x14ac:dyDescent="0.25">
      <c r="A855" s="421" t="s">
        <v>354</v>
      </c>
      <c r="B855" s="412">
        <f>VLOOKUP(B846,'BANG LUONG 1'!$B$5:$AJ$56,12,0)</f>
        <v>24</v>
      </c>
      <c r="C855" s="421">
        <v>10</v>
      </c>
      <c r="D855" s="41"/>
    </row>
    <row r="856" spans="1:5" x14ac:dyDescent="0.25">
      <c r="A856" s="421" t="s">
        <v>534</v>
      </c>
      <c r="B856" s="412">
        <f>VLOOKUP(B846,'BANG LUONG 1'!$B$5:$AJ$56,13,0)</f>
        <v>3889038.461538461</v>
      </c>
      <c r="C856" s="421">
        <v>11</v>
      </c>
      <c r="D856" s="41"/>
    </row>
    <row r="857" spans="1:5" x14ac:dyDescent="0.25">
      <c r="A857" s="421" t="s">
        <v>592</v>
      </c>
      <c r="B857" s="412">
        <f>VLOOKUP(B846,'BANG LUONG 1'!$B$5:$AJ$56,14,0)</f>
        <v>0.5</v>
      </c>
      <c r="C857" s="421">
        <v>12</v>
      </c>
      <c r="D857" s="41">
        <f>B854/26*B857</f>
        <v>81021.63461538461</v>
      </c>
    </row>
    <row r="858" spans="1:5" x14ac:dyDescent="0.25">
      <c r="A858" s="421" t="s">
        <v>357</v>
      </c>
      <c r="B858" s="412">
        <f>VLOOKUP(B846,'BANG LUONG 1'!$B$5:$AJ$56,15,0)</f>
        <v>161.5</v>
      </c>
      <c r="C858" s="421">
        <v>13</v>
      </c>
      <c r="D858" s="41">
        <f>B854/26/8*1.5*B858</f>
        <v>4906872.7463942301</v>
      </c>
    </row>
    <row r="859" spans="1:5" x14ac:dyDescent="0.25">
      <c r="A859" s="421" t="s">
        <v>387</v>
      </c>
      <c r="B859" s="412">
        <f>VLOOKUP(B846,'BANG LUONG 1'!$B$5:$AJ$56,16,0)</f>
        <v>24</v>
      </c>
      <c r="C859" s="421">
        <v>14</v>
      </c>
      <c r="D859" s="41">
        <f>B854/26/8*2*B859</f>
        <v>972259.61538461526</v>
      </c>
    </row>
    <row r="860" spans="1:5" x14ac:dyDescent="0.25">
      <c r="A860" s="421" t="s">
        <v>593</v>
      </c>
      <c r="B860" s="412">
        <f>VLOOKUP(B846,'BANG LUONG 1'!$B$5:$AJ$56,17,0)</f>
        <v>0</v>
      </c>
      <c r="C860" s="421"/>
      <c r="D860" s="41">
        <f>(B854/26)*B860</f>
        <v>0</v>
      </c>
    </row>
    <row r="861" spans="1:5" x14ac:dyDescent="0.25">
      <c r="A861" s="421" t="s">
        <v>388</v>
      </c>
      <c r="B861" s="412">
        <f>VLOOKUP(B846,'BANG LUONG 1'!$B$5:$AJ$56,18,0)</f>
        <v>1</v>
      </c>
      <c r="C861" s="421">
        <v>15</v>
      </c>
      <c r="D861" s="41">
        <f>(B854/26*B861)*3</f>
        <v>486129.80769230763</v>
      </c>
    </row>
    <row r="862" spans="1:5" x14ac:dyDescent="0.25">
      <c r="A862" s="421" t="s">
        <v>533</v>
      </c>
      <c r="B862" s="412">
        <f>VLOOKUP(B846,'BANG LUONG 1'!$B$5:$AJ$56,19,0)</f>
        <v>10335322.265625</v>
      </c>
      <c r="C862" s="183">
        <v>16</v>
      </c>
      <c r="D862" s="185">
        <f>B856+D858+D859+D857+D861+D860</f>
        <v>10335322.265625</v>
      </c>
      <c r="E862" s="108"/>
    </row>
    <row r="863" spans="1:5" x14ac:dyDescent="0.25">
      <c r="A863" s="421" t="s">
        <v>535</v>
      </c>
      <c r="B863" s="412">
        <f>VLOOKUP(B846,'BANG LUONG 1'!$B$5:$AJ$56,20,0)</f>
        <v>4451105.769230769</v>
      </c>
      <c r="C863" s="421">
        <v>17</v>
      </c>
      <c r="D863" s="41"/>
    </row>
    <row r="864" spans="1:5" x14ac:dyDescent="0.25">
      <c r="A864" s="421" t="s">
        <v>370</v>
      </c>
      <c r="B864" s="412">
        <f>VLOOKUP(B846,'BANG LUONG 1'!$B$5:$AJ$56,22,0)</f>
        <v>210656.25</v>
      </c>
      <c r="C864" s="421">
        <v>18</v>
      </c>
      <c r="D864" s="41"/>
    </row>
    <row r="865" spans="1:5" x14ac:dyDescent="0.25">
      <c r="A865" s="421" t="s">
        <v>371</v>
      </c>
      <c r="B865" s="412">
        <f>VLOOKUP(B846,'BANG LUONG 1'!$B$5:$AJ$56,23,0)</f>
        <v>300000</v>
      </c>
      <c r="C865" s="421">
        <v>19</v>
      </c>
      <c r="D865" s="41"/>
    </row>
    <row r="866" spans="1:5" x14ac:dyDescent="0.25">
      <c r="A866" s="421" t="s">
        <v>560</v>
      </c>
      <c r="B866" s="412">
        <f>VLOOKUP(B846,'BANG LUONG 1'!$B$5:$AJ$56,24,0)</f>
        <v>0</v>
      </c>
      <c r="C866" s="421">
        <v>22</v>
      </c>
      <c r="D866" s="41"/>
    </row>
    <row r="867" spans="1:5" x14ac:dyDescent="0.25">
      <c r="A867" s="183" t="s">
        <v>237</v>
      </c>
      <c r="B867" s="415">
        <f>VLOOKUP(B846,'BANG LUONG 1'!$B$5:$AJ$56,26,0)</f>
        <v>15297084.284855768</v>
      </c>
      <c r="C867" s="421">
        <v>24</v>
      </c>
      <c r="D867" s="41"/>
    </row>
    <row r="868" spans="1:5" x14ac:dyDescent="0.25">
      <c r="A868" s="421" t="s">
        <v>545</v>
      </c>
      <c r="B868" s="412">
        <f>VLOOKUP(B846,'BANG LUONG 1'!$B$5:$AJ$56,27,0)</f>
        <v>4000000</v>
      </c>
      <c r="C868" s="421">
        <v>25</v>
      </c>
      <c r="D868" s="41"/>
    </row>
    <row r="869" spans="1:5" x14ac:dyDescent="0.25">
      <c r="A869" s="421" t="s">
        <v>544</v>
      </c>
      <c r="B869" s="412">
        <f>VLOOKUP(B846,'BANG LUONG 1'!$B$5:$AJ$56,28,0)</f>
        <v>480585</v>
      </c>
      <c r="C869" s="421">
        <v>26</v>
      </c>
      <c r="D869" s="41"/>
    </row>
    <row r="870" spans="1:5" x14ac:dyDescent="0.25">
      <c r="A870" s="421" t="s">
        <v>712</v>
      </c>
      <c r="B870" s="415">
        <f>VLOOKUP(B846,'BANG LUONG 1'!$B$5:$AJ$56,32,0)</f>
        <v>0</v>
      </c>
      <c r="C870" s="421"/>
      <c r="D870" s="41"/>
    </row>
    <row r="871" spans="1:5" x14ac:dyDescent="0.25">
      <c r="A871" s="421" t="s">
        <v>713</v>
      </c>
      <c r="B871" s="415">
        <f>VLOOKUP(B846,'BANG LUONG 1'!$B$5:$AJ$56,33,0)</f>
        <v>352000</v>
      </c>
      <c r="C871" s="421"/>
      <c r="D871" s="41"/>
    </row>
    <row r="872" spans="1:5" x14ac:dyDescent="0.25">
      <c r="A872" s="183" t="s">
        <v>707</v>
      </c>
      <c r="B872" s="415">
        <f>VLOOKUP(B846,'BANG LUONG 1'!$B$5:$AJ$56,30,0)</f>
        <v>100000</v>
      </c>
      <c r="C872" s="421"/>
      <c r="D872" s="41"/>
      <c r="E872" s="108" t="str">
        <f>B847</f>
        <v>Nguyễn Văn Phụng</v>
      </c>
    </row>
    <row r="873" spans="1:5" x14ac:dyDescent="0.25">
      <c r="A873" s="183" t="s">
        <v>546</v>
      </c>
      <c r="B873" s="415">
        <f>VLOOKUP(B846,'BANG LUONG 1'!$B$5:$AJ$56,35,0)</f>
        <v>11268000</v>
      </c>
      <c r="C873" s="421"/>
      <c r="D873" s="41"/>
    </row>
    <row r="874" spans="1:5" x14ac:dyDescent="0.25">
      <c r="A874" s="184" t="s">
        <v>549</v>
      </c>
      <c r="B874" s="424">
        <f>'BANG LUONG 1'!$P$3</f>
        <v>43733</v>
      </c>
    </row>
    <row r="875" spans="1:5" x14ac:dyDescent="0.25">
      <c r="A875" s="183" t="s">
        <v>1</v>
      </c>
      <c r="B875" s="185" t="s">
        <v>154</v>
      </c>
      <c r="C875" s="421">
        <v>1</v>
      </c>
      <c r="D875" s="41"/>
    </row>
    <row r="876" spans="1:5" x14ac:dyDescent="0.25">
      <c r="A876" s="183" t="s">
        <v>2</v>
      </c>
      <c r="B876" s="185" t="str">
        <f>VLOOKUP($B875,'BANG LUONG 1'!$B$6:$AB$51,C876,0)</f>
        <v>Nguyễn Tấn Kiệt</v>
      </c>
      <c r="C876" s="421">
        <v>2</v>
      </c>
      <c r="D876" s="41"/>
    </row>
    <row r="877" spans="1:5" x14ac:dyDescent="0.25">
      <c r="A877" s="421" t="s">
        <v>3</v>
      </c>
      <c r="B877" s="41" t="str">
        <f>VLOOKUP($B875,'BANG LUONG 1'!$B$6:$AJ$51,C877,0)</f>
        <v xml:space="preserve">Công nhân </v>
      </c>
      <c r="C877" s="421">
        <v>3</v>
      </c>
      <c r="D877" s="41"/>
    </row>
    <row r="878" spans="1:5" x14ac:dyDescent="0.25">
      <c r="A878" s="421" t="s">
        <v>376</v>
      </c>
      <c r="B878" s="410">
        <f>VLOOKUP($B875,'BANG LUONG 1'!$B$5:$AJ$56,4,0)</f>
        <v>40869</v>
      </c>
      <c r="C878" s="421">
        <v>4</v>
      </c>
      <c r="D878" s="41"/>
    </row>
    <row r="879" spans="1:5" x14ac:dyDescent="0.25">
      <c r="A879" s="421" t="s">
        <v>698</v>
      </c>
      <c r="B879" s="411">
        <f>VLOOKUP(B875,'BANG LUONG 1'!$B$5:$AJ$56,6,0)</f>
        <v>7.0000000000000007E-2</v>
      </c>
      <c r="C879" s="421">
        <v>5</v>
      </c>
      <c r="D879" s="41"/>
    </row>
    <row r="880" spans="1:5" x14ac:dyDescent="0.25">
      <c r="A880" s="421" t="s">
        <v>229</v>
      </c>
      <c r="B880" s="412">
        <f>'thang luong moi'!$F$5</f>
        <v>4012500</v>
      </c>
      <c r="C880" s="421">
        <v>6</v>
      </c>
      <c r="D880" s="41"/>
    </row>
    <row r="881" spans="1:5" x14ac:dyDescent="0.25">
      <c r="A881" s="421" t="s">
        <v>217</v>
      </c>
      <c r="B881" s="412" t="str">
        <f>VLOOKUP(B875,'BANG LUONG 1'!$B$5:$AJ$56,8,0)</f>
        <v>B.05</v>
      </c>
      <c r="C881" s="421">
        <v>7</v>
      </c>
      <c r="D881" s="41"/>
    </row>
    <row r="882" spans="1:5" x14ac:dyDescent="0.25">
      <c r="A882" s="421" t="s">
        <v>230</v>
      </c>
      <c r="B882" s="412">
        <f>VLOOKUP(B875,'BANG LUONG 1'!$B$5:$AJ$56,9,0)</f>
        <v>1</v>
      </c>
      <c r="C882" s="421">
        <v>8</v>
      </c>
      <c r="D882" s="41"/>
    </row>
    <row r="883" spans="1:5" x14ac:dyDescent="0.25">
      <c r="A883" s="421" t="s">
        <v>538</v>
      </c>
      <c r="B883" s="412">
        <f>VLOOKUP(B875,'BANG LUONG 1'!$B$5:$AJ$56,11,0)</f>
        <v>4213125</v>
      </c>
      <c r="C883" s="421">
        <v>9</v>
      </c>
      <c r="D883" s="41"/>
    </row>
    <row r="884" spans="1:5" x14ac:dyDescent="0.25">
      <c r="A884" s="421" t="s">
        <v>354</v>
      </c>
      <c r="B884" s="412">
        <f>VLOOKUP(B875,'BANG LUONG 1'!$B$5:$AJ$56,12,0)</f>
        <v>26</v>
      </c>
      <c r="C884" s="421">
        <v>10</v>
      </c>
      <c r="D884" s="41"/>
    </row>
    <row r="885" spans="1:5" x14ac:dyDescent="0.25">
      <c r="A885" s="421" t="s">
        <v>534</v>
      </c>
      <c r="B885" s="412">
        <f>VLOOKUP(B875,'BANG LUONG 1'!$B$5:$AJ$56,13,0)</f>
        <v>4213125</v>
      </c>
      <c r="C885" s="421">
        <v>11</v>
      </c>
      <c r="D885" s="41"/>
    </row>
    <row r="886" spans="1:5" x14ac:dyDescent="0.25">
      <c r="A886" s="421" t="s">
        <v>592</v>
      </c>
      <c r="B886" s="412">
        <f>VLOOKUP(B875,'BANG LUONG 1'!$B$5:$AJ$56,14,0)</f>
        <v>0</v>
      </c>
      <c r="C886" s="421">
        <v>12</v>
      </c>
      <c r="D886" s="41">
        <f>B883/26*B886</f>
        <v>0</v>
      </c>
    </row>
    <row r="887" spans="1:5" x14ac:dyDescent="0.25">
      <c r="A887" s="421" t="s">
        <v>357</v>
      </c>
      <c r="B887" s="412">
        <f>VLOOKUP(B875,'BANG LUONG 1'!$B$5:$AJ$56,15,0)</f>
        <v>0</v>
      </c>
      <c r="C887" s="421">
        <v>13</v>
      </c>
      <c r="D887" s="41">
        <f>B883/26/8*1.5*B887</f>
        <v>0</v>
      </c>
    </row>
    <row r="888" spans="1:5" x14ac:dyDescent="0.25">
      <c r="A888" s="421" t="s">
        <v>387</v>
      </c>
      <c r="B888" s="412">
        <f>VLOOKUP(B875,'BANG LUONG 1'!$B$5:$AJ$56,16,0)</f>
        <v>16</v>
      </c>
      <c r="C888" s="421">
        <v>14</v>
      </c>
      <c r="D888" s="41">
        <f>B883/26/8*2*B888</f>
        <v>648173.07692307688</v>
      </c>
    </row>
    <row r="889" spans="1:5" x14ac:dyDescent="0.25">
      <c r="A889" s="421" t="s">
        <v>593</v>
      </c>
      <c r="B889" s="412">
        <f>VLOOKUP(B875,'BANG LUONG 1'!$B$5:$AJ$56,17,0)</f>
        <v>1</v>
      </c>
      <c r="C889" s="421"/>
      <c r="D889" s="41">
        <f>(B883/26)*B889</f>
        <v>162043.26923076922</v>
      </c>
    </row>
    <row r="890" spans="1:5" x14ac:dyDescent="0.25">
      <c r="A890" s="421" t="s">
        <v>388</v>
      </c>
      <c r="B890" s="412">
        <f>VLOOKUP(B875,'BANG LUONG 1'!$B$5:$AJ$56,18,0)</f>
        <v>0</v>
      </c>
      <c r="C890" s="421">
        <v>15</v>
      </c>
      <c r="D890" s="41">
        <f>(B883/26*B890)*3</f>
        <v>0</v>
      </c>
    </row>
    <row r="891" spans="1:5" x14ac:dyDescent="0.25">
      <c r="A891" s="421" t="s">
        <v>533</v>
      </c>
      <c r="B891" s="412">
        <f>VLOOKUP(B875,'BANG LUONG 1'!$B$5:$AJ$56,19,0)</f>
        <v>5023341.346153846</v>
      </c>
      <c r="C891" s="183">
        <v>16</v>
      </c>
      <c r="D891" s="185">
        <f>B885+D887+D888+D886+D890+D889</f>
        <v>5023341.346153846</v>
      </c>
      <c r="E891" s="108"/>
    </row>
    <row r="892" spans="1:5" x14ac:dyDescent="0.25">
      <c r="A892" s="421" t="s">
        <v>535</v>
      </c>
      <c r="B892" s="412">
        <f>VLOOKUP(B875,'BANG LUONG 1'!$B$5:$AJ$56,20,0)</f>
        <v>633028.84615384508</v>
      </c>
      <c r="C892" s="421">
        <v>17</v>
      </c>
      <c r="D892" s="41"/>
    </row>
    <row r="893" spans="1:5" x14ac:dyDescent="0.25">
      <c r="A893" s="421" t="s">
        <v>370</v>
      </c>
      <c r="B893" s="412">
        <f>VLOOKUP(B875,'BANG LUONG 1'!$B$5:$AJ$56,22,0)</f>
        <v>294918.75</v>
      </c>
      <c r="C893" s="421">
        <v>18</v>
      </c>
      <c r="D893" s="41"/>
    </row>
    <row r="894" spans="1:5" x14ac:dyDescent="0.25">
      <c r="A894" s="421" t="s">
        <v>371</v>
      </c>
      <c r="B894" s="412">
        <f>VLOOKUP(B875,'BANG LUONG 1'!$B$5:$AJ$56,23,0)</f>
        <v>300000</v>
      </c>
      <c r="C894" s="421">
        <v>19</v>
      </c>
      <c r="D894" s="41"/>
    </row>
    <row r="895" spans="1:5" x14ac:dyDescent="0.25">
      <c r="A895" s="421" t="s">
        <v>560</v>
      </c>
      <c r="B895" s="412">
        <f>VLOOKUP(B875,'BANG LUONG 1'!$B$5:$AJ$56,24,0)</f>
        <v>0</v>
      </c>
      <c r="C895" s="421">
        <v>22</v>
      </c>
      <c r="D895" s="41"/>
    </row>
    <row r="896" spans="1:5" x14ac:dyDescent="0.25">
      <c r="A896" s="183" t="s">
        <v>237</v>
      </c>
      <c r="B896" s="415">
        <f>VLOOKUP(B875,'BANG LUONG 1'!$B$5:$AJ$56,26,0)</f>
        <v>6251288.9423076911</v>
      </c>
      <c r="C896" s="421">
        <v>24</v>
      </c>
      <c r="D896" s="41"/>
    </row>
    <row r="897" spans="1:5" x14ac:dyDescent="0.25">
      <c r="A897" s="421" t="s">
        <v>545</v>
      </c>
      <c r="B897" s="412">
        <f>VLOOKUP(B875,'BANG LUONG 1'!$B$5:$AJ$56,27,0)</f>
        <v>4000000</v>
      </c>
      <c r="C897" s="421">
        <v>25</v>
      </c>
      <c r="D897" s="41"/>
    </row>
    <row r="898" spans="1:5" x14ac:dyDescent="0.25">
      <c r="A898" s="421" t="s">
        <v>544</v>
      </c>
      <c r="B898" s="412">
        <f>VLOOKUP(B875,'BANG LUONG 1'!$B$5:$AJ$56,28,0)</f>
        <v>480585</v>
      </c>
      <c r="C898" s="421">
        <v>26</v>
      </c>
      <c r="D898" s="41"/>
    </row>
    <row r="899" spans="1:5" x14ac:dyDescent="0.25">
      <c r="A899" s="421" t="s">
        <v>712</v>
      </c>
      <c r="B899" s="415">
        <f>VLOOKUP(B875,'BANG LUONG 1'!$B$5:$AJ$56,32,0)</f>
        <v>0</v>
      </c>
      <c r="C899" s="421"/>
      <c r="D899" s="41"/>
    </row>
    <row r="900" spans="1:5" x14ac:dyDescent="0.25">
      <c r="A900" s="421" t="s">
        <v>713</v>
      </c>
      <c r="B900" s="415">
        <f>VLOOKUP(B875,'BANG LUONG 1'!$B$5:$AJ$56,33,0)</f>
        <v>0</v>
      </c>
      <c r="C900" s="421"/>
      <c r="D900" s="41"/>
    </row>
    <row r="901" spans="1:5" x14ac:dyDescent="0.25">
      <c r="A901" s="183" t="s">
        <v>707</v>
      </c>
      <c r="B901" s="415">
        <f>VLOOKUP(B875,'BANG LUONG 1'!$B$5:$AJ$56,30,0)</f>
        <v>100000</v>
      </c>
      <c r="C901" s="421"/>
      <c r="D901" s="41"/>
      <c r="E901" s="108" t="str">
        <f>B876</f>
        <v>Nguyễn Tấn Kiệt</v>
      </c>
    </row>
    <row r="902" spans="1:5" x14ac:dyDescent="0.25">
      <c r="A902" s="183" t="s">
        <v>546</v>
      </c>
      <c r="B902" s="415">
        <f>VLOOKUP(B875,'BANG LUONG 1'!$B$5:$AJ$56,35,0)</f>
        <v>1871000</v>
      </c>
      <c r="C902" s="421"/>
      <c r="D902" s="41"/>
    </row>
    <row r="903" spans="1:5" x14ac:dyDescent="0.25">
      <c r="A903" s="184" t="s">
        <v>549</v>
      </c>
      <c r="B903" s="424">
        <f>'BANG LUONG 1'!$P$3</f>
        <v>43733</v>
      </c>
    </row>
    <row r="904" spans="1:5" x14ac:dyDescent="0.25">
      <c r="A904" s="183" t="s">
        <v>1</v>
      </c>
      <c r="B904" s="185" t="s">
        <v>155</v>
      </c>
      <c r="C904" s="421">
        <v>1</v>
      </c>
      <c r="D904" s="41"/>
    </row>
    <row r="905" spans="1:5" x14ac:dyDescent="0.25">
      <c r="A905" s="183" t="s">
        <v>2</v>
      </c>
      <c r="B905" s="185" t="str">
        <f>VLOOKUP($B904,'BANG LUONG 1'!$B$6:$AB$51,C905,0)</f>
        <v>Nguyễn Văn Rắng</v>
      </c>
      <c r="C905" s="421">
        <v>2</v>
      </c>
      <c r="D905" s="41"/>
    </row>
    <row r="906" spans="1:5" x14ac:dyDescent="0.25">
      <c r="A906" s="421" t="s">
        <v>3</v>
      </c>
      <c r="B906" s="41" t="str">
        <f>VLOOKUP($B904,'BANG LUONG 1'!$B$6:$AJ$51,C906,0)</f>
        <v xml:space="preserve">Công nhân </v>
      </c>
      <c r="C906" s="421">
        <v>3</v>
      </c>
      <c r="D906" s="41"/>
    </row>
    <row r="907" spans="1:5" x14ac:dyDescent="0.25">
      <c r="A907" s="421" t="s">
        <v>376</v>
      </c>
      <c r="B907" s="410">
        <f>VLOOKUP($B904,'BANG LUONG 1'!$B$5:$AJ$56,4,0)</f>
        <v>42422</v>
      </c>
      <c r="C907" s="421">
        <v>4</v>
      </c>
      <c r="D907" s="41"/>
    </row>
    <row r="908" spans="1:5" x14ac:dyDescent="0.25">
      <c r="A908" s="421" t="s">
        <v>698</v>
      </c>
      <c r="B908" s="411">
        <f>VLOOKUP(B904,'BANG LUONG 1'!$B$5:$AJ$56,6,0)</f>
        <v>0.03</v>
      </c>
      <c r="C908" s="421">
        <v>5</v>
      </c>
      <c r="D908" s="41"/>
    </row>
    <row r="909" spans="1:5" x14ac:dyDescent="0.25">
      <c r="A909" s="421" t="s">
        <v>229</v>
      </c>
      <c r="B909" s="412">
        <f>'thang luong moi'!$F$5</f>
        <v>4012500</v>
      </c>
      <c r="C909" s="421">
        <v>6</v>
      </c>
      <c r="D909" s="41"/>
    </row>
    <row r="910" spans="1:5" x14ac:dyDescent="0.25">
      <c r="A910" s="421" t="s">
        <v>217</v>
      </c>
      <c r="B910" s="412" t="str">
        <f>VLOOKUP(B904,'BANG LUONG 1'!$B$5:$AJ$56,8,0)</f>
        <v>B.05</v>
      </c>
      <c r="C910" s="421">
        <v>7</v>
      </c>
      <c r="D910" s="41"/>
    </row>
    <row r="911" spans="1:5" x14ac:dyDescent="0.25">
      <c r="A911" s="421" t="s">
        <v>230</v>
      </c>
      <c r="B911" s="412">
        <f>VLOOKUP(B904,'BANG LUONG 1'!$B$5:$AJ$56,9,0)</f>
        <v>1</v>
      </c>
      <c r="C911" s="421">
        <v>8</v>
      </c>
      <c r="D911" s="41"/>
    </row>
    <row r="912" spans="1:5" x14ac:dyDescent="0.25">
      <c r="A912" s="421" t="s">
        <v>538</v>
      </c>
      <c r="B912" s="412">
        <f>VLOOKUP(B904,'BANG LUONG 1'!$B$5:$AJ$56,11,0)</f>
        <v>4213125</v>
      </c>
      <c r="C912" s="421">
        <v>9</v>
      </c>
      <c r="D912" s="41"/>
    </row>
    <row r="913" spans="1:5" x14ac:dyDescent="0.25">
      <c r="A913" s="421" t="s">
        <v>354</v>
      </c>
      <c r="B913" s="412">
        <f>VLOOKUP(B904,'BANG LUONG 1'!$B$5:$AJ$56,12,0)</f>
        <v>26</v>
      </c>
      <c r="C913" s="421">
        <v>10</v>
      </c>
      <c r="D913" s="41"/>
    </row>
    <row r="914" spans="1:5" x14ac:dyDescent="0.25">
      <c r="A914" s="421" t="s">
        <v>534</v>
      </c>
      <c r="B914" s="412">
        <f>VLOOKUP(B904,'BANG LUONG 1'!$B$5:$AJ$56,13,0)</f>
        <v>4213125</v>
      </c>
      <c r="C914" s="421">
        <v>11</v>
      </c>
      <c r="D914" s="41"/>
    </row>
    <row r="915" spans="1:5" x14ac:dyDescent="0.25">
      <c r="A915" s="421" t="s">
        <v>592</v>
      </c>
      <c r="B915" s="412">
        <f>VLOOKUP(B904,'BANG LUONG 1'!$B$5:$AJ$56,14,0)</f>
        <v>0</v>
      </c>
      <c r="C915" s="421">
        <v>12</v>
      </c>
      <c r="D915" s="41">
        <f>B912/26*B915</f>
        <v>0</v>
      </c>
    </row>
    <row r="916" spans="1:5" x14ac:dyDescent="0.25">
      <c r="A916" s="421" t="s">
        <v>357</v>
      </c>
      <c r="B916" s="412">
        <f>VLOOKUP(B904,'BANG LUONG 1'!$B$5:$AJ$56,15,0)</f>
        <v>21</v>
      </c>
      <c r="C916" s="421">
        <v>13</v>
      </c>
      <c r="D916" s="41">
        <f>B912/26/8*1.5*B916</f>
        <v>638045.37259615376</v>
      </c>
    </row>
    <row r="917" spans="1:5" x14ac:dyDescent="0.25">
      <c r="A917" s="421" t="s">
        <v>387</v>
      </c>
      <c r="B917" s="412">
        <f>VLOOKUP(B904,'BANG LUONG 1'!$B$5:$AJ$56,16,0)</f>
        <v>16</v>
      </c>
      <c r="C917" s="421">
        <v>14</v>
      </c>
      <c r="D917" s="41">
        <f>B912/26/8*2*B917</f>
        <v>648173.07692307688</v>
      </c>
    </row>
    <row r="918" spans="1:5" x14ac:dyDescent="0.25">
      <c r="A918" s="421" t="s">
        <v>593</v>
      </c>
      <c r="B918" s="412">
        <f>VLOOKUP(B904,'BANG LUONG 1'!$B$5:$AJ$56,17,0)</f>
        <v>1</v>
      </c>
      <c r="C918" s="421"/>
      <c r="D918" s="41">
        <f>(B912/26)*B918</f>
        <v>162043.26923076922</v>
      </c>
    </row>
    <row r="919" spans="1:5" x14ac:dyDescent="0.25">
      <c r="A919" s="421" t="s">
        <v>388</v>
      </c>
      <c r="B919" s="412">
        <f>VLOOKUP(B904,'BANG LUONG 1'!$B$5:$AJ$56,18,0)</f>
        <v>0</v>
      </c>
      <c r="C919" s="421">
        <v>15</v>
      </c>
      <c r="D919" s="41">
        <f>(B912/26*B919)*3</f>
        <v>0</v>
      </c>
    </row>
    <row r="920" spans="1:5" x14ac:dyDescent="0.25">
      <c r="A920" s="421" t="s">
        <v>533</v>
      </c>
      <c r="B920" s="412">
        <f>VLOOKUP(B904,'BANG LUONG 1'!$B$5:$AJ$56,19,0)</f>
        <v>5661386.71875</v>
      </c>
      <c r="C920" s="183">
        <v>16</v>
      </c>
      <c r="D920" s="185">
        <f>B914+D916+D917+D915+D919+D918</f>
        <v>5661386.71875</v>
      </c>
      <c r="E920" s="108"/>
    </row>
    <row r="921" spans="1:5" x14ac:dyDescent="0.25">
      <c r="A921" s="421" t="s">
        <v>535</v>
      </c>
      <c r="B921" s="412">
        <f>VLOOKUP(B904,'BANG LUONG 1'!$B$5:$AJ$56,20,0)</f>
        <v>8352203.8461538479</v>
      </c>
      <c r="C921" s="421">
        <v>17</v>
      </c>
      <c r="D921" s="41"/>
    </row>
    <row r="922" spans="1:5" x14ac:dyDescent="0.25">
      <c r="A922" s="421" t="s">
        <v>370</v>
      </c>
      <c r="B922" s="412">
        <f>VLOOKUP(B904,'BANG LUONG 1'!$B$5:$AJ$56,22,0)</f>
        <v>126393.75</v>
      </c>
      <c r="C922" s="421">
        <v>18</v>
      </c>
      <c r="D922" s="41"/>
    </row>
    <row r="923" spans="1:5" x14ac:dyDescent="0.25">
      <c r="A923" s="421" t="s">
        <v>371</v>
      </c>
      <c r="B923" s="412">
        <f>VLOOKUP(B904,'BANG LUONG 1'!$B$5:$AJ$56,23,0)</f>
        <v>300000</v>
      </c>
      <c r="C923" s="421">
        <v>19</v>
      </c>
      <c r="D923" s="41"/>
    </row>
    <row r="924" spans="1:5" x14ac:dyDescent="0.25">
      <c r="A924" s="421" t="s">
        <v>560</v>
      </c>
      <c r="B924" s="412">
        <f>VLOOKUP(B904,'BANG LUONG 1'!$B$5:$AJ$56,24,0)</f>
        <v>0</v>
      </c>
      <c r="C924" s="421">
        <v>22</v>
      </c>
      <c r="D924" s="41"/>
    </row>
    <row r="925" spans="1:5" x14ac:dyDescent="0.25">
      <c r="A925" s="183" t="s">
        <v>237</v>
      </c>
      <c r="B925" s="415">
        <f>VLOOKUP(B904,'BANG LUONG 1'!$B$5:$AJ$56,26,0)</f>
        <v>14439984.314903848</v>
      </c>
      <c r="C925" s="421">
        <v>24</v>
      </c>
      <c r="D925" s="41"/>
    </row>
    <row r="926" spans="1:5" x14ac:dyDescent="0.25">
      <c r="A926" s="421" t="s">
        <v>545</v>
      </c>
      <c r="B926" s="412">
        <f>VLOOKUP(B904,'BANG LUONG 1'!$B$5:$AJ$56,27,0)</f>
        <v>3000000</v>
      </c>
      <c r="C926" s="421">
        <v>25</v>
      </c>
      <c r="D926" s="41"/>
    </row>
    <row r="927" spans="1:5" x14ac:dyDescent="0.25">
      <c r="A927" s="421" t="s">
        <v>544</v>
      </c>
      <c r="B927" s="412">
        <f>VLOOKUP(B904,'BANG LUONG 1'!$B$5:$AJ$56,28,0)</f>
        <v>480585</v>
      </c>
      <c r="C927" s="421">
        <v>26</v>
      </c>
      <c r="D927" s="41"/>
    </row>
    <row r="928" spans="1:5" x14ac:dyDescent="0.25">
      <c r="A928" s="421" t="s">
        <v>712</v>
      </c>
      <c r="B928" s="415">
        <f>VLOOKUP(B904,'BANG LUONG 1'!$B$5:$AJ$56,32,0)</f>
        <v>0</v>
      </c>
      <c r="C928" s="421"/>
      <c r="D928" s="41"/>
    </row>
    <row r="929" spans="1:5" x14ac:dyDescent="0.25">
      <c r="A929" s="421" t="s">
        <v>713</v>
      </c>
      <c r="B929" s="415">
        <f>VLOOKUP(B904,'BANG LUONG 1'!$B$5:$AJ$56,33,0)</f>
        <v>154000</v>
      </c>
      <c r="C929" s="421"/>
      <c r="D929" s="41"/>
    </row>
    <row r="930" spans="1:5" x14ac:dyDescent="0.25">
      <c r="A930" s="183" t="s">
        <v>707</v>
      </c>
      <c r="B930" s="415">
        <f>VLOOKUP(B904,'BANG LUONG 1'!$B$5:$AJ$56,30,0)</f>
        <v>100000</v>
      </c>
      <c r="C930" s="421"/>
      <c r="D930" s="41"/>
      <c r="E930" s="108" t="str">
        <f>B905</f>
        <v>Nguyễn Văn Rắng</v>
      </c>
    </row>
    <row r="931" spans="1:5" x14ac:dyDescent="0.25">
      <c r="A931" s="183" t="s">
        <v>546</v>
      </c>
      <c r="B931" s="415">
        <f>VLOOKUP(B904,'BANG LUONG 1'!$B$5:$AJ$56,35,0)</f>
        <v>11213000</v>
      </c>
      <c r="C931" s="421"/>
      <c r="D931" s="41"/>
    </row>
    <row r="932" spans="1:5" x14ac:dyDescent="0.25">
      <c r="A932" s="184" t="s">
        <v>549</v>
      </c>
      <c r="B932" s="424">
        <f>'BANG LUONG 1'!$P$3</f>
        <v>43733</v>
      </c>
    </row>
    <row r="933" spans="1:5" x14ac:dyDescent="0.25">
      <c r="A933" s="183" t="s">
        <v>1</v>
      </c>
      <c r="B933" s="185" t="s">
        <v>156</v>
      </c>
      <c r="C933" s="421">
        <v>1</v>
      </c>
      <c r="D933" s="41"/>
    </row>
    <row r="934" spans="1:5" x14ac:dyDescent="0.25">
      <c r="A934" s="183" t="s">
        <v>2</v>
      </c>
      <c r="B934" s="185" t="str">
        <f>VLOOKUP($B933,'BANG LUONG 1'!$B$6:$AB$51,C934,0)</f>
        <v>Lê Ngọc Đức</v>
      </c>
      <c r="C934" s="421">
        <v>2</v>
      </c>
      <c r="D934" s="41"/>
    </row>
    <row r="935" spans="1:5" x14ac:dyDescent="0.25">
      <c r="A935" s="421" t="s">
        <v>3</v>
      </c>
      <c r="B935" s="41" t="str">
        <f>VLOOKUP($B933,'BANG LUONG 1'!$B$6:$AJ$51,C935,0)</f>
        <v xml:space="preserve">Công nhân </v>
      </c>
      <c r="C935" s="421">
        <v>3</v>
      </c>
      <c r="D935" s="41"/>
    </row>
    <row r="936" spans="1:5" x14ac:dyDescent="0.25">
      <c r="A936" s="421" t="s">
        <v>376</v>
      </c>
      <c r="B936" s="410">
        <f>VLOOKUP($B933,'BANG LUONG 1'!$B$5:$AJ$56,4,0)</f>
        <v>43453</v>
      </c>
      <c r="C936" s="421">
        <v>4</v>
      </c>
      <c r="D936" s="41"/>
    </row>
    <row r="937" spans="1:5" x14ac:dyDescent="0.25">
      <c r="A937" s="421" t="s">
        <v>698</v>
      </c>
      <c r="B937" s="411">
        <f>VLOOKUP(B933,'BANG LUONG 1'!$B$5:$AJ$56,6,0)</f>
        <v>0</v>
      </c>
      <c r="C937" s="421">
        <v>5</v>
      </c>
      <c r="D937" s="41"/>
    </row>
    <row r="938" spans="1:5" x14ac:dyDescent="0.25">
      <c r="A938" s="421" t="s">
        <v>229</v>
      </c>
      <c r="B938" s="412">
        <f>'thang luong moi'!$F$5</f>
        <v>4012500</v>
      </c>
      <c r="C938" s="421">
        <v>6</v>
      </c>
      <c r="D938" s="41"/>
    </row>
    <row r="939" spans="1:5" x14ac:dyDescent="0.25">
      <c r="A939" s="421" t="s">
        <v>217</v>
      </c>
      <c r="B939" s="412" t="str">
        <f>VLOOKUP(B933,'BANG LUONG 1'!$B$5:$AJ$56,8,0)</f>
        <v>B.05</v>
      </c>
      <c r="C939" s="421">
        <v>7</v>
      </c>
      <c r="D939" s="41"/>
    </row>
    <row r="940" spans="1:5" x14ac:dyDescent="0.25">
      <c r="A940" s="421" t="s">
        <v>230</v>
      </c>
      <c r="B940" s="412">
        <f>VLOOKUP(B933,'BANG LUONG 1'!$B$5:$AJ$56,9,0)</f>
        <v>1</v>
      </c>
      <c r="C940" s="421">
        <v>8</v>
      </c>
      <c r="D940" s="41"/>
    </row>
    <row r="941" spans="1:5" x14ac:dyDescent="0.25">
      <c r="A941" s="421" t="s">
        <v>538</v>
      </c>
      <c r="B941" s="412">
        <f>VLOOKUP(B933,'BANG LUONG 1'!$B$5:$AJ$56,11,0)</f>
        <v>4213125</v>
      </c>
      <c r="C941" s="421">
        <v>9</v>
      </c>
      <c r="D941" s="41"/>
    </row>
    <row r="942" spans="1:5" x14ac:dyDescent="0.25">
      <c r="A942" s="421" t="s">
        <v>354</v>
      </c>
      <c r="B942" s="412">
        <f>VLOOKUP(B933,'BANG LUONG 1'!$B$5:$AJ$56,12,0)</f>
        <v>25</v>
      </c>
      <c r="C942" s="421">
        <v>10</v>
      </c>
      <c r="D942" s="41"/>
    </row>
    <row r="943" spans="1:5" x14ac:dyDescent="0.25">
      <c r="A943" s="421" t="s">
        <v>534</v>
      </c>
      <c r="B943" s="412">
        <f>VLOOKUP(B933,'BANG LUONG 1'!$B$5:$AJ$56,13,0)</f>
        <v>4051081.7307692305</v>
      </c>
      <c r="C943" s="421">
        <v>11</v>
      </c>
      <c r="D943" s="41"/>
    </row>
    <row r="944" spans="1:5" x14ac:dyDescent="0.25">
      <c r="A944" s="421" t="s">
        <v>592</v>
      </c>
      <c r="B944" s="412">
        <f>VLOOKUP(B933,'BANG LUONG 1'!$B$5:$AJ$56,14,0)</f>
        <v>0</v>
      </c>
      <c r="C944" s="421">
        <v>12</v>
      </c>
      <c r="D944" s="41">
        <f>B941/26*B944</f>
        <v>0</v>
      </c>
    </row>
    <row r="945" spans="1:5" x14ac:dyDescent="0.25">
      <c r="A945" s="421" t="s">
        <v>357</v>
      </c>
      <c r="B945" s="412">
        <f>VLOOKUP(B933,'BANG LUONG 1'!$B$5:$AJ$56,15,0)</f>
        <v>0</v>
      </c>
      <c r="C945" s="421">
        <v>13</v>
      </c>
      <c r="D945" s="41">
        <f>B941/26/8*1.5*B945</f>
        <v>0</v>
      </c>
    </row>
    <row r="946" spans="1:5" x14ac:dyDescent="0.25">
      <c r="A946" s="421" t="s">
        <v>387</v>
      </c>
      <c r="B946" s="412">
        <f>VLOOKUP(B933,'BANG LUONG 1'!$B$5:$AJ$56,16,0)</f>
        <v>24</v>
      </c>
      <c r="C946" s="421">
        <v>14</v>
      </c>
      <c r="D946" s="41">
        <f>B941/26/8*2*B946</f>
        <v>972259.61538461526</v>
      </c>
    </row>
    <row r="947" spans="1:5" x14ac:dyDescent="0.25">
      <c r="A947" s="421" t="s">
        <v>593</v>
      </c>
      <c r="B947" s="412">
        <f>VLOOKUP(B933,'BANG LUONG 1'!$B$5:$AJ$56,17,0)</f>
        <v>1</v>
      </c>
      <c r="C947" s="421"/>
      <c r="D947" s="41">
        <f>(B941/26)*B947</f>
        <v>162043.26923076922</v>
      </c>
    </row>
    <row r="948" spans="1:5" x14ac:dyDescent="0.25">
      <c r="A948" s="421" t="s">
        <v>388</v>
      </c>
      <c r="B948" s="412">
        <f>VLOOKUP(B933,'BANG LUONG 1'!$B$5:$AJ$56,18,0)</f>
        <v>0</v>
      </c>
      <c r="C948" s="421">
        <v>15</v>
      </c>
      <c r="D948" s="41">
        <f>(B941/26*B948)*3</f>
        <v>0</v>
      </c>
    </row>
    <row r="949" spans="1:5" x14ac:dyDescent="0.25">
      <c r="A949" s="421" t="s">
        <v>533</v>
      </c>
      <c r="B949" s="412">
        <f>VLOOKUP(B933,'BANG LUONG 1'!$B$5:$AJ$56,19,0)</f>
        <v>5185384.615384615</v>
      </c>
      <c r="C949" s="183">
        <v>16</v>
      </c>
      <c r="D949" s="185">
        <f>B943+D945+D946+D944+D948+D947</f>
        <v>5185384.615384615</v>
      </c>
      <c r="E949" s="108"/>
    </row>
    <row r="950" spans="1:5" x14ac:dyDescent="0.25">
      <c r="A950" s="421" t="s">
        <v>535</v>
      </c>
      <c r="B950" s="412">
        <f>VLOOKUP(B933,'BANG LUONG 1'!$B$5:$AJ$56,20,0)</f>
        <v>795072.11538461456</v>
      </c>
      <c r="C950" s="421">
        <v>17</v>
      </c>
      <c r="D950" s="41"/>
    </row>
    <row r="951" spans="1:5" x14ac:dyDescent="0.25">
      <c r="A951" s="421" t="s">
        <v>370</v>
      </c>
      <c r="B951" s="412">
        <f>VLOOKUP(B933,'BANG LUONG 1'!$B$5:$AJ$56,22,0)</f>
        <v>0</v>
      </c>
      <c r="C951" s="421">
        <v>18</v>
      </c>
      <c r="D951" s="41"/>
    </row>
    <row r="952" spans="1:5" x14ac:dyDescent="0.25">
      <c r="A952" s="421" t="s">
        <v>371</v>
      </c>
      <c r="B952" s="412">
        <f>VLOOKUP(B933,'BANG LUONG 1'!$B$5:$AJ$56,23,0)</f>
        <v>300000</v>
      </c>
      <c r="C952" s="421">
        <v>19</v>
      </c>
      <c r="D952" s="41"/>
    </row>
    <row r="953" spans="1:5" x14ac:dyDescent="0.25">
      <c r="A953" s="421" t="s">
        <v>560</v>
      </c>
      <c r="B953" s="412">
        <f>VLOOKUP(B933,'BANG LUONG 1'!$B$5:$AJ$56,24,0)</f>
        <v>0</v>
      </c>
      <c r="C953" s="421">
        <v>22</v>
      </c>
      <c r="D953" s="41"/>
    </row>
    <row r="954" spans="1:5" x14ac:dyDescent="0.25">
      <c r="A954" s="183" t="s">
        <v>237</v>
      </c>
      <c r="B954" s="415">
        <f>VLOOKUP(B933,'BANG LUONG 1'!$B$5:$AJ$56,26,0)</f>
        <v>6280456.7307692301</v>
      </c>
      <c r="C954" s="421">
        <v>24</v>
      </c>
      <c r="D954" s="41"/>
    </row>
    <row r="955" spans="1:5" x14ac:dyDescent="0.25">
      <c r="A955" s="421" t="s">
        <v>545</v>
      </c>
      <c r="B955" s="412">
        <f>VLOOKUP(B933,'BANG LUONG 1'!$B$5:$AJ$56,27,0)</f>
        <v>4000000</v>
      </c>
      <c r="C955" s="421">
        <v>25</v>
      </c>
      <c r="D955" s="41"/>
    </row>
    <row r="956" spans="1:5" x14ac:dyDescent="0.25">
      <c r="A956" s="421" t="s">
        <v>544</v>
      </c>
      <c r="B956" s="412">
        <f>VLOOKUP(B933,'BANG LUONG 1'!$B$5:$AJ$56,28,0)</f>
        <v>0</v>
      </c>
      <c r="C956" s="421">
        <v>26</v>
      </c>
      <c r="D956" s="41"/>
    </row>
    <row r="957" spans="1:5" x14ac:dyDescent="0.25">
      <c r="A957" s="421" t="s">
        <v>712</v>
      </c>
      <c r="B957" s="415">
        <f>VLOOKUP(B933,'BANG LUONG 1'!$B$5:$AJ$56,32,0)</f>
        <v>0</v>
      </c>
      <c r="C957" s="421"/>
      <c r="D957" s="41"/>
    </row>
    <row r="958" spans="1:5" x14ac:dyDescent="0.25">
      <c r="A958" s="421" t="s">
        <v>713</v>
      </c>
      <c r="B958" s="415">
        <f>VLOOKUP(B933,'BANG LUONG 1'!$B$5:$AJ$56,33,0)</f>
        <v>0</v>
      </c>
      <c r="C958" s="421"/>
      <c r="D958" s="41"/>
    </row>
    <row r="959" spans="1:5" x14ac:dyDescent="0.25">
      <c r="A959" s="183" t="s">
        <v>707</v>
      </c>
      <c r="B959" s="415">
        <f>VLOOKUP(B933,'BANG LUONG 1'!$B$5:$AJ$56,30,0)</f>
        <v>100000</v>
      </c>
      <c r="C959" s="421"/>
      <c r="D959" s="41"/>
      <c r="E959" s="108" t="str">
        <f>B934</f>
        <v>Lê Ngọc Đức</v>
      </c>
    </row>
    <row r="960" spans="1:5" x14ac:dyDescent="0.25">
      <c r="A960" s="183" t="s">
        <v>546</v>
      </c>
      <c r="B960" s="415">
        <f>VLOOKUP(B933,'BANG LUONG 1'!$B$5:$AJ$56,35,0)</f>
        <v>2380000</v>
      </c>
      <c r="C960" s="421"/>
      <c r="D960" s="41"/>
    </row>
    <row r="961" spans="1:4" x14ac:dyDescent="0.25">
      <c r="A961" s="184" t="s">
        <v>549</v>
      </c>
      <c r="B961" s="424">
        <f>'BANG LUONG 1'!$P$3</f>
        <v>43733</v>
      </c>
    </row>
    <row r="962" spans="1:4" x14ac:dyDescent="0.25">
      <c r="A962" s="183" t="s">
        <v>1</v>
      </c>
      <c r="B962" s="185" t="s">
        <v>158</v>
      </c>
      <c r="C962" s="421">
        <v>1</v>
      </c>
      <c r="D962" s="41"/>
    </row>
    <row r="963" spans="1:4" x14ac:dyDescent="0.25">
      <c r="A963" s="183" t="s">
        <v>2</v>
      </c>
      <c r="B963" s="185" t="str">
        <f>VLOOKUP($B962,'BANG LUONG 1'!$B$6:$AB$51,C963,0)</f>
        <v>Bùi Văn Ây</v>
      </c>
      <c r="C963" s="421">
        <v>2</v>
      </c>
      <c r="D963" s="41"/>
    </row>
    <row r="964" spans="1:4" x14ac:dyDescent="0.25">
      <c r="A964" s="421" t="s">
        <v>3</v>
      </c>
      <c r="B964" s="41" t="str">
        <f>VLOOKUP($B962,'BANG LUONG 1'!$B$6:$AJ$51,C964,0)</f>
        <v xml:space="preserve">Công nhân </v>
      </c>
      <c r="C964" s="421">
        <v>3</v>
      </c>
      <c r="D964" s="41"/>
    </row>
    <row r="965" spans="1:4" x14ac:dyDescent="0.25">
      <c r="A965" s="421" t="s">
        <v>376</v>
      </c>
      <c r="B965" s="410">
        <f>VLOOKUP($B962,'BANG LUONG 1'!$B$5:$AJ$56,4,0)</f>
        <v>43458</v>
      </c>
      <c r="C965" s="421">
        <v>4</v>
      </c>
      <c r="D965" s="41"/>
    </row>
    <row r="966" spans="1:4" x14ac:dyDescent="0.25">
      <c r="A966" s="421" t="s">
        <v>698</v>
      </c>
      <c r="B966" s="411">
        <f>VLOOKUP(B962,'BANG LUONG 1'!$B$5:$AJ$56,6,0)</f>
        <v>0</v>
      </c>
      <c r="C966" s="421">
        <v>5</v>
      </c>
      <c r="D966" s="41"/>
    </row>
    <row r="967" spans="1:4" x14ac:dyDescent="0.25">
      <c r="A967" s="421" t="s">
        <v>229</v>
      </c>
      <c r="B967" s="412">
        <f>'thang luong moi'!$F$5</f>
        <v>4012500</v>
      </c>
      <c r="C967" s="421">
        <v>6</v>
      </c>
      <c r="D967" s="41"/>
    </row>
    <row r="968" spans="1:4" x14ac:dyDescent="0.25">
      <c r="A968" s="421" t="s">
        <v>217</v>
      </c>
      <c r="B968" s="412" t="str">
        <f>VLOOKUP(B962,'BANG LUONG 1'!$B$5:$AJ$56,8,0)</f>
        <v>B.05</v>
      </c>
      <c r="C968" s="421">
        <v>7</v>
      </c>
      <c r="D968" s="41"/>
    </row>
    <row r="969" spans="1:4" x14ac:dyDescent="0.25">
      <c r="A969" s="421" t="s">
        <v>230</v>
      </c>
      <c r="B969" s="412">
        <f>VLOOKUP(B962,'BANG LUONG 1'!$B$5:$AJ$56,9,0)</f>
        <v>1</v>
      </c>
      <c r="C969" s="421">
        <v>8</v>
      </c>
      <c r="D969" s="41"/>
    </row>
    <row r="970" spans="1:4" x14ac:dyDescent="0.25">
      <c r="A970" s="421" t="s">
        <v>538</v>
      </c>
      <c r="B970" s="412">
        <f>VLOOKUP(B962,'BANG LUONG 1'!$B$5:$AJ$56,11,0)</f>
        <v>4213125</v>
      </c>
      <c r="C970" s="421">
        <v>9</v>
      </c>
      <c r="D970" s="41"/>
    </row>
    <row r="971" spans="1:4" x14ac:dyDescent="0.25">
      <c r="A971" s="421" t="s">
        <v>354</v>
      </c>
      <c r="B971" s="412">
        <f>VLOOKUP(B962,'BANG LUONG 1'!$B$5:$AJ$56,12,0)</f>
        <v>26</v>
      </c>
      <c r="C971" s="421">
        <v>10</v>
      </c>
      <c r="D971" s="41"/>
    </row>
    <row r="972" spans="1:4" x14ac:dyDescent="0.25">
      <c r="A972" s="421" t="s">
        <v>534</v>
      </c>
      <c r="B972" s="412">
        <f>VLOOKUP(B962,'BANG LUONG 1'!$B$5:$AJ$56,13,0)</f>
        <v>4213125</v>
      </c>
      <c r="C972" s="421">
        <v>11</v>
      </c>
      <c r="D972" s="41"/>
    </row>
    <row r="973" spans="1:4" x14ac:dyDescent="0.25">
      <c r="A973" s="421" t="s">
        <v>592</v>
      </c>
      <c r="B973" s="412">
        <f>VLOOKUP(B962,'BANG LUONG 1'!$B$5:$AJ$56,14,0)</f>
        <v>0</v>
      </c>
      <c r="C973" s="421">
        <v>12</v>
      </c>
      <c r="D973" s="41">
        <f>B970/26*B973</f>
        <v>0</v>
      </c>
    </row>
    <row r="974" spans="1:4" x14ac:dyDescent="0.25">
      <c r="A974" s="421" t="s">
        <v>357</v>
      </c>
      <c r="B974" s="412">
        <f>VLOOKUP(B962,'BANG LUONG 1'!$B$5:$AJ$56,15,0)</f>
        <v>0</v>
      </c>
      <c r="C974" s="421">
        <v>13</v>
      </c>
      <c r="D974" s="41">
        <f>B970/26/8*1.5*B974</f>
        <v>0</v>
      </c>
    </row>
    <row r="975" spans="1:4" x14ac:dyDescent="0.25">
      <c r="A975" s="421" t="s">
        <v>387</v>
      </c>
      <c r="B975" s="412">
        <f>VLOOKUP(B962,'BANG LUONG 1'!$B$5:$AJ$56,16,0)</f>
        <v>32</v>
      </c>
      <c r="C975" s="421">
        <v>14</v>
      </c>
      <c r="D975" s="41">
        <f>B970/26/8*2*B975</f>
        <v>1296346.1538461538</v>
      </c>
    </row>
    <row r="976" spans="1:4" x14ac:dyDescent="0.25">
      <c r="A976" s="421" t="s">
        <v>593</v>
      </c>
      <c r="B976" s="412">
        <f>VLOOKUP(B962,'BANG LUONG 1'!$B$5:$AJ$56,17,0)</f>
        <v>1</v>
      </c>
      <c r="C976" s="421"/>
      <c r="D976" s="41">
        <f>(B970/26)*B976</f>
        <v>162043.26923076922</v>
      </c>
    </row>
    <row r="977" spans="1:5" x14ac:dyDescent="0.25">
      <c r="A977" s="421" t="s">
        <v>388</v>
      </c>
      <c r="B977" s="412">
        <f>VLOOKUP(B962,'BANG LUONG 1'!$B$5:$AJ$56,18,0)</f>
        <v>0</v>
      </c>
      <c r="C977" s="421">
        <v>15</v>
      </c>
      <c r="D977" s="41">
        <f>(B970/26*B977)*3</f>
        <v>0</v>
      </c>
    </row>
    <row r="978" spans="1:5" x14ac:dyDescent="0.25">
      <c r="A978" s="421" t="s">
        <v>533</v>
      </c>
      <c r="B978" s="412">
        <f>VLOOKUP(B962,'BANG LUONG 1'!$B$5:$AJ$56,19,0)</f>
        <v>5671514.423076923</v>
      </c>
      <c r="C978" s="183">
        <v>16</v>
      </c>
      <c r="D978" s="185">
        <f>B972+D974+D975+D973+D977+D976</f>
        <v>5671514.423076923</v>
      </c>
      <c r="E978" s="108"/>
    </row>
    <row r="979" spans="1:5" x14ac:dyDescent="0.25">
      <c r="A979" s="421" t="s">
        <v>535</v>
      </c>
      <c r="B979" s="412">
        <f>VLOOKUP(B962,'BANG LUONG 1'!$B$5:$AJ$56,20,0)</f>
        <v>979182.69230769202</v>
      </c>
      <c r="C979" s="421">
        <v>17</v>
      </c>
      <c r="D979" s="41"/>
    </row>
    <row r="980" spans="1:5" x14ac:dyDescent="0.25">
      <c r="A980" s="421" t="s">
        <v>370</v>
      </c>
      <c r="B980" s="412">
        <f>VLOOKUP(B962,'BANG LUONG 1'!$B$5:$AJ$56,22,0)</f>
        <v>0</v>
      </c>
      <c r="C980" s="421">
        <v>18</v>
      </c>
      <c r="D980" s="41"/>
    </row>
    <row r="981" spans="1:5" x14ac:dyDescent="0.25">
      <c r="A981" s="421" t="s">
        <v>371</v>
      </c>
      <c r="B981" s="412">
        <f>VLOOKUP(B962,'BANG LUONG 1'!$B$5:$AJ$56,23,0)</f>
        <v>300000</v>
      </c>
      <c r="C981" s="421">
        <v>19</v>
      </c>
      <c r="D981" s="41"/>
    </row>
    <row r="982" spans="1:5" x14ac:dyDescent="0.25">
      <c r="A982" s="421" t="s">
        <v>560</v>
      </c>
      <c r="B982" s="412">
        <f>VLOOKUP(B962,'BANG LUONG 1'!$B$5:$AJ$56,24,0)</f>
        <v>0</v>
      </c>
      <c r="C982" s="421">
        <v>22</v>
      </c>
      <c r="D982" s="41"/>
    </row>
    <row r="983" spans="1:5" x14ac:dyDescent="0.25">
      <c r="A983" s="183" t="s">
        <v>237</v>
      </c>
      <c r="B983" s="415">
        <f>VLOOKUP(B962,'BANG LUONG 1'!$B$5:$AJ$56,26,0)</f>
        <v>6950697.115384615</v>
      </c>
      <c r="C983" s="421">
        <v>24</v>
      </c>
      <c r="D983" s="41"/>
    </row>
    <row r="984" spans="1:5" x14ac:dyDescent="0.25">
      <c r="A984" s="421" t="s">
        <v>545</v>
      </c>
      <c r="B984" s="412">
        <f>VLOOKUP(B962,'BANG LUONG 1'!$B$5:$AJ$56,27,0)</f>
        <v>4000000</v>
      </c>
      <c r="C984" s="421">
        <v>25</v>
      </c>
      <c r="D984" s="41"/>
    </row>
    <row r="985" spans="1:5" x14ac:dyDescent="0.25">
      <c r="A985" s="421" t="s">
        <v>544</v>
      </c>
      <c r="B985" s="412">
        <f>VLOOKUP(B962,'BANG LUONG 1'!$B$5:$AJ$56,28,0)</f>
        <v>0</v>
      </c>
      <c r="C985" s="421">
        <v>26</v>
      </c>
      <c r="D985" s="41"/>
    </row>
    <row r="986" spans="1:5" x14ac:dyDescent="0.25">
      <c r="A986" s="421" t="s">
        <v>712</v>
      </c>
      <c r="B986" s="415">
        <f>VLOOKUP(B962,'BANG LUONG 1'!$B$5:$AJ$56,32,0)</f>
        <v>0</v>
      </c>
      <c r="C986" s="421"/>
      <c r="D986" s="41"/>
    </row>
    <row r="987" spans="1:5" x14ac:dyDescent="0.25">
      <c r="A987" s="421" t="s">
        <v>713</v>
      </c>
      <c r="B987" s="415">
        <f>VLOOKUP(B962,'BANG LUONG 1'!$B$5:$AJ$56,33,0)</f>
        <v>0</v>
      </c>
      <c r="C987" s="421"/>
      <c r="D987" s="41"/>
    </row>
    <row r="988" spans="1:5" x14ac:dyDescent="0.25">
      <c r="A988" s="183" t="s">
        <v>707</v>
      </c>
      <c r="B988" s="415">
        <f>VLOOKUP(B962,'BANG LUONG 1'!$B$5:$AJ$56,30,0)</f>
        <v>100000</v>
      </c>
      <c r="C988" s="421"/>
      <c r="D988" s="41"/>
      <c r="E988" s="108" t="str">
        <f>B963</f>
        <v>Bùi Văn Ây</v>
      </c>
    </row>
    <row r="989" spans="1:5" x14ac:dyDescent="0.25">
      <c r="A989" s="183" t="s">
        <v>546</v>
      </c>
      <c r="B989" s="415">
        <f>VLOOKUP(B962,'BANG LUONG 1'!$B$5:$AJ$56,35,0)</f>
        <v>3051000</v>
      </c>
      <c r="C989" s="421"/>
      <c r="D989" s="41"/>
    </row>
    <row r="990" spans="1:5" x14ac:dyDescent="0.25">
      <c r="A990" s="184" t="s">
        <v>549</v>
      </c>
      <c r="B990" s="424">
        <f>'BANG LUONG 1'!$P$3</f>
        <v>43733</v>
      </c>
    </row>
    <row r="991" spans="1:5" x14ac:dyDescent="0.25">
      <c r="A991" s="183" t="s">
        <v>1</v>
      </c>
      <c r="B991" s="185" t="s">
        <v>159</v>
      </c>
      <c r="C991" s="421">
        <v>1</v>
      </c>
      <c r="D991" s="41"/>
    </row>
    <row r="992" spans="1:5" x14ac:dyDescent="0.25">
      <c r="A992" s="183" t="s">
        <v>2</v>
      </c>
      <c r="B992" s="185" t="str">
        <f>VLOOKUP($B991,'BANG LUONG 1'!$B$6:$AB$51,C992,0)</f>
        <v>Ngô Đình Chung</v>
      </c>
      <c r="C992" s="421">
        <v>2</v>
      </c>
      <c r="D992" s="41"/>
    </row>
    <row r="993" spans="1:5" x14ac:dyDescent="0.25">
      <c r="A993" s="421" t="s">
        <v>3</v>
      </c>
      <c r="B993" s="41" t="str">
        <f>VLOOKUP($B991,'BANG LUONG 1'!$B$6:$AJ$51,C993,0)</f>
        <v>GS Vườn rau</v>
      </c>
      <c r="C993" s="421">
        <v>3</v>
      </c>
      <c r="D993" s="41"/>
    </row>
    <row r="994" spans="1:5" x14ac:dyDescent="0.25">
      <c r="A994" s="421" t="s">
        <v>376</v>
      </c>
      <c r="B994" s="410">
        <f>VLOOKUP($B991,'BANG LUONG 1'!$B$5:$AJ$56,4,0)</f>
        <v>42086</v>
      </c>
      <c r="C994" s="421">
        <v>4</v>
      </c>
      <c r="D994" s="41"/>
    </row>
    <row r="995" spans="1:5" x14ac:dyDescent="0.25">
      <c r="A995" s="421" t="s">
        <v>698</v>
      </c>
      <c r="B995" s="411">
        <f>VLOOKUP(B991,'BANG LUONG 1'!$B$5:$AJ$56,6,0)</f>
        <v>0.04</v>
      </c>
      <c r="C995" s="421">
        <v>5</v>
      </c>
      <c r="D995" s="41"/>
    </row>
    <row r="996" spans="1:5" x14ac:dyDescent="0.25">
      <c r="A996" s="421" t="s">
        <v>229</v>
      </c>
      <c r="B996" s="412">
        <f>'thang luong moi'!$F$5</f>
        <v>4012500</v>
      </c>
      <c r="C996" s="421">
        <v>6</v>
      </c>
      <c r="D996" s="41"/>
    </row>
    <row r="997" spans="1:5" x14ac:dyDescent="0.25">
      <c r="A997" s="421" t="s">
        <v>217</v>
      </c>
      <c r="B997" s="412" t="str">
        <f>VLOOKUP(B991,'BANG LUONG 1'!$B$5:$AJ$56,8,0)</f>
        <v>B.01</v>
      </c>
      <c r="C997" s="421">
        <v>7</v>
      </c>
      <c r="D997" s="41"/>
    </row>
    <row r="998" spans="1:5" x14ac:dyDescent="0.25">
      <c r="A998" s="421" t="s">
        <v>230</v>
      </c>
      <c r="B998" s="412">
        <f>VLOOKUP(B991,'BANG LUONG 1'!$B$5:$AJ$56,9,0)</f>
        <v>1</v>
      </c>
      <c r="C998" s="421">
        <v>8</v>
      </c>
      <c r="D998" s="41"/>
    </row>
    <row r="999" spans="1:5" x14ac:dyDescent="0.25">
      <c r="A999" s="421" t="s">
        <v>538</v>
      </c>
      <c r="B999" s="412">
        <f>VLOOKUP(B991,'BANG LUONG 1'!$B$5:$AJ$56,11,0)</f>
        <v>4381650</v>
      </c>
      <c r="C999" s="421">
        <v>9</v>
      </c>
      <c r="D999" s="41"/>
    </row>
    <row r="1000" spans="1:5" x14ac:dyDescent="0.25">
      <c r="A1000" s="421" t="s">
        <v>354</v>
      </c>
      <c r="B1000" s="412">
        <f>VLOOKUP(B991,'BANG LUONG 1'!$B$5:$AJ$56,12,0)</f>
        <v>23</v>
      </c>
      <c r="C1000" s="421">
        <v>10</v>
      </c>
      <c r="D1000" s="41"/>
    </row>
    <row r="1001" spans="1:5" x14ac:dyDescent="0.25">
      <c r="A1001" s="421" t="s">
        <v>534</v>
      </c>
      <c r="B1001" s="412">
        <f>VLOOKUP(B991,'BANG LUONG 1'!$B$5:$AJ$56,13,0)</f>
        <v>3876075</v>
      </c>
      <c r="C1001" s="421">
        <v>11</v>
      </c>
      <c r="D1001" s="41"/>
    </row>
    <row r="1002" spans="1:5" x14ac:dyDescent="0.25">
      <c r="A1002" s="421" t="s">
        <v>592</v>
      </c>
      <c r="B1002" s="412">
        <f>VLOOKUP(B991,'BANG LUONG 1'!$B$5:$AJ$56,14,0)</f>
        <v>0</v>
      </c>
      <c r="C1002" s="421">
        <v>12</v>
      </c>
      <c r="D1002" s="41">
        <f>B999/26*B1002</f>
        <v>0</v>
      </c>
    </row>
    <row r="1003" spans="1:5" x14ac:dyDescent="0.25">
      <c r="A1003" s="421" t="s">
        <v>357</v>
      </c>
      <c r="B1003" s="412">
        <f>VLOOKUP(B991,'BANG LUONG 1'!$B$5:$AJ$56,15,0)</f>
        <v>0</v>
      </c>
      <c r="C1003" s="421">
        <v>13</v>
      </c>
      <c r="D1003" s="41">
        <f>B999/26/8*1.5*B1003</f>
        <v>0</v>
      </c>
    </row>
    <row r="1004" spans="1:5" x14ac:dyDescent="0.25">
      <c r="A1004" s="421" t="s">
        <v>387</v>
      </c>
      <c r="B1004" s="412">
        <f>VLOOKUP(B991,'BANG LUONG 1'!$B$5:$AJ$56,16,0)</f>
        <v>0</v>
      </c>
      <c r="C1004" s="421">
        <v>14</v>
      </c>
      <c r="D1004" s="41">
        <f>B999/26/8*2*B1004</f>
        <v>0</v>
      </c>
    </row>
    <row r="1005" spans="1:5" x14ac:dyDescent="0.25">
      <c r="A1005" s="421" t="s">
        <v>593</v>
      </c>
      <c r="B1005" s="412">
        <f>VLOOKUP(B991,'BANG LUONG 1'!$B$5:$AJ$56,17,0)</f>
        <v>1</v>
      </c>
      <c r="C1005" s="421"/>
      <c r="D1005" s="41">
        <f>(B999/26)*B1005</f>
        <v>168525</v>
      </c>
    </row>
    <row r="1006" spans="1:5" x14ac:dyDescent="0.25">
      <c r="A1006" s="421" t="s">
        <v>388</v>
      </c>
      <c r="B1006" s="412">
        <f>VLOOKUP(B991,'BANG LUONG 1'!$B$5:$AJ$56,18,0)</f>
        <v>0</v>
      </c>
      <c r="C1006" s="421">
        <v>15</v>
      </c>
      <c r="D1006" s="41">
        <f>(B999/26*B1006)*3</f>
        <v>0</v>
      </c>
    </row>
    <row r="1007" spans="1:5" x14ac:dyDescent="0.25">
      <c r="A1007" s="421" t="s">
        <v>533</v>
      </c>
      <c r="B1007" s="412">
        <f>VLOOKUP(B991,'BANG LUONG 1'!$B$5:$AJ$56,19,0)</f>
        <v>4752292.307692308</v>
      </c>
      <c r="C1007" s="183">
        <v>16</v>
      </c>
      <c r="D1007" s="185">
        <f>B1001+D1003+D1004+D1002+D1006+D1005</f>
        <v>4044600</v>
      </c>
      <c r="E1007" s="108"/>
    </row>
    <row r="1008" spans="1:5" x14ac:dyDescent="0.25">
      <c r="A1008" s="421" t="s">
        <v>535</v>
      </c>
      <c r="B1008" s="412">
        <f>VLOOKUP(B991,'BANG LUONG 1'!$B$5:$AJ$56,20,0)</f>
        <v>0</v>
      </c>
      <c r="C1008" s="421">
        <v>17</v>
      </c>
      <c r="D1008" s="41"/>
    </row>
    <row r="1009" spans="1:5" x14ac:dyDescent="0.25">
      <c r="A1009" s="421" t="s">
        <v>370</v>
      </c>
      <c r="B1009" s="412">
        <f>VLOOKUP(B991,'BANG LUONG 1'!$B$5:$AJ$56,22,0)</f>
        <v>175266</v>
      </c>
      <c r="C1009" s="421">
        <v>18</v>
      </c>
      <c r="D1009" s="41"/>
    </row>
    <row r="1010" spans="1:5" x14ac:dyDescent="0.25">
      <c r="A1010" s="421" t="s">
        <v>371</v>
      </c>
      <c r="B1010" s="412">
        <f>VLOOKUP(B991,'BANG LUONG 1'!$B$5:$AJ$56,23,0)</f>
        <v>0</v>
      </c>
      <c r="C1010" s="421">
        <v>19</v>
      </c>
      <c r="D1010" s="41"/>
    </row>
    <row r="1011" spans="1:5" x14ac:dyDescent="0.25">
      <c r="A1011" s="421" t="s">
        <v>560</v>
      </c>
      <c r="B1011" s="412">
        <f>VLOOKUP(B991,'BANG LUONG 1'!$B$5:$AJ$56,24,0)</f>
        <v>800000</v>
      </c>
      <c r="C1011" s="421">
        <v>22</v>
      </c>
      <c r="D1011" s="41"/>
    </row>
    <row r="1012" spans="1:5" x14ac:dyDescent="0.25">
      <c r="A1012" s="183" t="s">
        <v>237</v>
      </c>
      <c r="B1012" s="415">
        <f>VLOOKUP(B991,'BANG LUONG 1'!$B$5:$AJ$56,26,0)</f>
        <v>4927558.307692308</v>
      </c>
      <c r="C1012" s="421">
        <v>24</v>
      </c>
      <c r="D1012" s="41"/>
    </row>
    <row r="1013" spans="1:5" x14ac:dyDescent="0.25">
      <c r="A1013" s="421" t="s">
        <v>545</v>
      </c>
      <c r="B1013" s="412">
        <f>VLOOKUP(B991,'BANG LUONG 1'!$B$5:$AJ$56,27,0)</f>
        <v>2000000</v>
      </c>
      <c r="C1013" s="421">
        <v>25</v>
      </c>
      <c r="D1013" s="41"/>
    </row>
    <row r="1014" spans="1:5" x14ac:dyDescent="0.25">
      <c r="A1014" s="421" t="s">
        <v>544</v>
      </c>
      <c r="B1014" s="412">
        <f>VLOOKUP(B991,'BANG LUONG 1'!$B$5:$AJ$56,28,0)</f>
        <v>0</v>
      </c>
      <c r="C1014" s="421">
        <v>26</v>
      </c>
      <c r="D1014" s="41"/>
    </row>
    <row r="1015" spans="1:5" x14ac:dyDescent="0.25">
      <c r="A1015" s="421" t="s">
        <v>712</v>
      </c>
      <c r="B1015" s="415">
        <f>VLOOKUP(B991,'BANG LUONG 1'!$B$5:$AJ$56,32,0)</f>
        <v>0</v>
      </c>
      <c r="C1015" s="421"/>
      <c r="D1015" s="41"/>
    </row>
    <row r="1016" spans="1:5" x14ac:dyDescent="0.25">
      <c r="A1016" s="421" t="s">
        <v>713</v>
      </c>
      <c r="B1016" s="415">
        <f>VLOOKUP(B991,'BANG LUONG 1'!$B$5:$AJ$56,33,0)</f>
        <v>0</v>
      </c>
      <c r="C1016" s="421"/>
      <c r="D1016" s="41"/>
    </row>
    <row r="1017" spans="1:5" x14ac:dyDescent="0.25">
      <c r="A1017" s="183" t="s">
        <v>707</v>
      </c>
      <c r="B1017" s="415">
        <f>VLOOKUP(B991,'BANG LUONG 1'!$B$5:$AJ$56,30,0)</f>
        <v>100000</v>
      </c>
      <c r="C1017" s="421"/>
      <c r="D1017" s="41"/>
      <c r="E1017" s="108" t="str">
        <f>B992</f>
        <v>Ngô Đình Chung</v>
      </c>
    </row>
    <row r="1018" spans="1:5" x14ac:dyDescent="0.25">
      <c r="A1018" s="183" t="s">
        <v>546</v>
      </c>
      <c r="B1018" s="415">
        <f>VLOOKUP(B991,'BANG LUONG 1'!$B$5:$AJ$56,35,0)</f>
        <v>3028000</v>
      </c>
      <c r="C1018" s="421"/>
      <c r="D1018" s="41"/>
    </row>
    <row r="1019" spans="1:5" x14ac:dyDescent="0.25">
      <c r="A1019" s="184" t="s">
        <v>549</v>
      </c>
      <c r="B1019" s="424">
        <f>'BANG LUONG 1'!$P$3</f>
        <v>43733</v>
      </c>
    </row>
    <row r="1020" spans="1:5" x14ac:dyDescent="0.25">
      <c r="A1020" s="183" t="s">
        <v>1</v>
      </c>
      <c r="B1020" s="185" t="s">
        <v>163</v>
      </c>
      <c r="C1020" s="421">
        <v>1</v>
      </c>
      <c r="D1020" s="41"/>
    </row>
    <row r="1021" spans="1:5" x14ac:dyDescent="0.25">
      <c r="A1021" s="183" t="s">
        <v>2</v>
      </c>
      <c r="B1021" s="185" t="str">
        <f>VLOOKUP($B1020,'BANG LUONG 1'!$B$6:$AB$51,C1021,0)</f>
        <v>Lương Trường Giang</v>
      </c>
      <c r="C1021" s="421">
        <v>2</v>
      </c>
      <c r="D1021" s="41"/>
    </row>
    <row r="1022" spans="1:5" x14ac:dyDescent="0.25">
      <c r="A1022" s="421" t="s">
        <v>3</v>
      </c>
      <c r="B1022" s="41" t="str">
        <f>VLOOKUP($B1020,'BANG LUONG 1'!$B$6:$AJ$51,C1022,0)</f>
        <v xml:space="preserve">Công nhân </v>
      </c>
      <c r="C1022" s="421">
        <v>3</v>
      </c>
      <c r="D1022" s="41"/>
    </row>
    <row r="1023" spans="1:5" x14ac:dyDescent="0.25">
      <c r="A1023" s="421" t="s">
        <v>376</v>
      </c>
      <c r="B1023" s="410">
        <f>VLOOKUP($B1020,'BANG LUONG 1'!$B$5:$AJ$56,4,0)</f>
        <v>43619</v>
      </c>
      <c r="C1023" s="421">
        <v>4</v>
      </c>
      <c r="D1023" s="41"/>
    </row>
    <row r="1024" spans="1:5" x14ac:dyDescent="0.25">
      <c r="A1024" s="421" t="s">
        <v>698</v>
      </c>
      <c r="B1024" s="411">
        <f>VLOOKUP(B1020,'BANG LUONG 1'!$B$5:$AJ$56,6,0)</f>
        <v>0</v>
      </c>
      <c r="C1024" s="421">
        <v>5</v>
      </c>
      <c r="D1024" s="41"/>
    </row>
    <row r="1025" spans="1:5" x14ac:dyDescent="0.25">
      <c r="A1025" s="421" t="s">
        <v>229</v>
      </c>
      <c r="B1025" s="412">
        <f>'thang luong moi'!$F$5</f>
        <v>4012500</v>
      </c>
      <c r="C1025" s="421">
        <v>6</v>
      </c>
      <c r="D1025" s="41"/>
    </row>
    <row r="1026" spans="1:5" x14ac:dyDescent="0.25">
      <c r="A1026" s="421" t="s">
        <v>217</v>
      </c>
      <c r="B1026" s="412" t="str">
        <f>VLOOKUP(B1020,'BANG LUONG 1'!$B$5:$AJ$56,8,0)</f>
        <v>B.05</v>
      </c>
      <c r="C1026" s="421">
        <v>7</v>
      </c>
      <c r="D1026" s="41"/>
    </row>
    <row r="1027" spans="1:5" x14ac:dyDescent="0.25">
      <c r="A1027" s="421" t="s">
        <v>230</v>
      </c>
      <c r="B1027" s="412">
        <f>VLOOKUP(B1020,'BANG LUONG 1'!$B$5:$AJ$56,9,0)</f>
        <v>1</v>
      </c>
      <c r="C1027" s="421">
        <v>8</v>
      </c>
      <c r="D1027" s="41"/>
    </row>
    <row r="1028" spans="1:5" x14ac:dyDescent="0.25">
      <c r="A1028" s="421" t="s">
        <v>538</v>
      </c>
      <c r="B1028" s="412">
        <f>VLOOKUP(B1020,'BANG LUONG 1'!$B$5:$AJ$56,11,0)</f>
        <v>4213125</v>
      </c>
      <c r="C1028" s="421">
        <v>9</v>
      </c>
      <c r="D1028" s="41"/>
    </row>
    <row r="1029" spans="1:5" x14ac:dyDescent="0.25">
      <c r="A1029" s="421" t="s">
        <v>354</v>
      </c>
      <c r="B1029" s="412">
        <f>VLOOKUP(B1020,'BANG LUONG 1'!$B$5:$AJ$56,12,0)</f>
        <v>26</v>
      </c>
      <c r="C1029" s="421">
        <v>10</v>
      </c>
      <c r="D1029" s="41"/>
    </row>
    <row r="1030" spans="1:5" x14ac:dyDescent="0.25">
      <c r="A1030" s="421" t="s">
        <v>534</v>
      </c>
      <c r="B1030" s="412">
        <f>VLOOKUP(B1020,'BANG LUONG 1'!$B$5:$AJ$56,13,0)</f>
        <v>4213125</v>
      </c>
      <c r="C1030" s="421">
        <v>11</v>
      </c>
      <c r="D1030" s="41"/>
    </row>
    <row r="1031" spans="1:5" x14ac:dyDescent="0.25">
      <c r="A1031" s="421" t="s">
        <v>592</v>
      </c>
      <c r="B1031" s="412">
        <f>VLOOKUP(B1020,'BANG LUONG 1'!$B$5:$AJ$56,14,0)</f>
        <v>0</v>
      </c>
      <c r="C1031" s="421">
        <v>12</v>
      </c>
      <c r="D1031" s="41">
        <f>B1028/26*B1031</f>
        <v>0</v>
      </c>
    </row>
    <row r="1032" spans="1:5" x14ac:dyDescent="0.25">
      <c r="A1032" s="421" t="s">
        <v>357</v>
      </c>
      <c r="B1032" s="412">
        <f>VLOOKUP(B1020,'BANG LUONG 1'!$B$5:$AJ$56,15,0)</f>
        <v>18</v>
      </c>
      <c r="C1032" s="421">
        <v>13</v>
      </c>
      <c r="D1032" s="41">
        <f>B1028/26/8*1.5*B1032</f>
        <v>546896.03365384613</v>
      </c>
    </row>
    <row r="1033" spans="1:5" x14ac:dyDescent="0.25">
      <c r="A1033" s="421" t="s">
        <v>387</v>
      </c>
      <c r="B1033" s="412">
        <f>VLOOKUP(B1020,'BANG LUONG 1'!$B$5:$AJ$56,16,0)</f>
        <v>16</v>
      </c>
      <c r="C1033" s="421">
        <v>14</v>
      </c>
      <c r="D1033" s="41">
        <f>B1028/26/8*2*B1033</f>
        <v>648173.07692307688</v>
      </c>
    </row>
    <row r="1034" spans="1:5" x14ac:dyDescent="0.25">
      <c r="A1034" s="421" t="s">
        <v>593</v>
      </c>
      <c r="B1034" s="412">
        <f>VLOOKUP(B1020,'BANG LUONG 1'!$B$5:$AJ$56,17,0)</f>
        <v>1</v>
      </c>
      <c r="C1034" s="421"/>
      <c r="D1034" s="41">
        <f>(B1028/26)*B1034</f>
        <v>162043.26923076922</v>
      </c>
    </row>
    <row r="1035" spans="1:5" x14ac:dyDescent="0.25">
      <c r="A1035" s="421" t="s">
        <v>388</v>
      </c>
      <c r="B1035" s="412">
        <f>VLOOKUP(B1020,'BANG LUONG 1'!$B$5:$AJ$56,18,0)</f>
        <v>0</v>
      </c>
      <c r="C1035" s="421">
        <v>15</v>
      </c>
      <c r="D1035" s="41">
        <f>(B1028/26*B1035)*3</f>
        <v>0</v>
      </c>
    </row>
    <row r="1036" spans="1:5" x14ac:dyDescent="0.25">
      <c r="A1036" s="421" t="s">
        <v>533</v>
      </c>
      <c r="B1036" s="412">
        <f>VLOOKUP(B1020,'BANG LUONG 1'!$B$5:$AJ$56,19,0)</f>
        <v>5570237.379807692</v>
      </c>
      <c r="C1036" s="183">
        <v>16</v>
      </c>
      <c r="D1036" s="185">
        <f>B1030+D1032+D1033+D1031+D1035+D1034</f>
        <v>5570237.379807692</v>
      </c>
      <c r="E1036" s="108"/>
    </row>
    <row r="1037" spans="1:5" x14ac:dyDescent="0.25">
      <c r="A1037" s="421" t="s">
        <v>535</v>
      </c>
      <c r="B1037" s="412">
        <f>VLOOKUP(B1020,'BANG LUONG 1'!$B$5:$AJ$56,20,0)</f>
        <v>8277233.0128205121</v>
      </c>
      <c r="C1037" s="421">
        <v>17</v>
      </c>
      <c r="D1037" s="41"/>
    </row>
    <row r="1038" spans="1:5" x14ac:dyDescent="0.25">
      <c r="A1038" s="421" t="s">
        <v>370</v>
      </c>
      <c r="B1038" s="412">
        <f>VLOOKUP(B1020,'BANG LUONG 1'!$B$5:$AJ$56,22,0)</f>
        <v>0</v>
      </c>
      <c r="C1038" s="421">
        <v>18</v>
      </c>
      <c r="D1038" s="41"/>
    </row>
    <row r="1039" spans="1:5" x14ac:dyDescent="0.25">
      <c r="A1039" s="421" t="s">
        <v>371</v>
      </c>
      <c r="B1039" s="412">
        <f>VLOOKUP(B1020,'BANG LUONG 1'!$B$5:$AJ$56,23,0)</f>
        <v>300000</v>
      </c>
      <c r="C1039" s="421">
        <v>19</v>
      </c>
      <c r="D1039" s="41"/>
    </row>
    <row r="1040" spans="1:5" x14ac:dyDescent="0.25">
      <c r="A1040" s="421" t="s">
        <v>560</v>
      </c>
      <c r="B1040" s="412">
        <f>VLOOKUP(B1020,'BANG LUONG 1'!$B$5:$AJ$56,24,0)</f>
        <v>0</v>
      </c>
      <c r="C1040" s="421">
        <v>22</v>
      </c>
      <c r="D1040" s="41"/>
    </row>
    <row r="1041" spans="1:5" x14ac:dyDescent="0.25">
      <c r="A1041" s="183" t="s">
        <v>237</v>
      </c>
      <c r="B1041" s="415">
        <f>VLOOKUP(B1020,'BANG LUONG 1'!$B$5:$AJ$56,26,0)</f>
        <v>14147470.392628204</v>
      </c>
      <c r="C1041" s="421">
        <v>24</v>
      </c>
      <c r="D1041" s="41"/>
    </row>
    <row r="1042" spans="1:5" x14ac:dyDescent="0.25">
      <c r="A1042" s="421" t="s">
        <v>545</v>
      </c>
      <c r="B1042" s="412">
        <f>VLOOKUP(B1020,'BANG LUONG 1'!$B$5:$AJ$56,27,0)</f>
        <v>0</v>
      </c>
      <c r="C1042" s="421">
        <v>25</v>
      </c>
      <c r="D1042" s="41"/>
    </row>
    <row r="1043" spans="1:5" x14ac:dyDescent="0.25">
      <c r="A1043" s="421" t="s">
        <v>544</v>
      </c>
      <c r="B1043" s="412">
        <f>VLOOKUP(B1020,'BANG LUONG 1'!$B$5:$AJ$56,28,0)</f>
        <v>0</v>
      </c>
      <c r="C1043" s="421">
        <v>26</v>
      </c>
      <c r="D1043" s="41"/>
    </row>
    <row r="1044" spans="1:5" x14ac:dyDescent="0.25">
      <c r="A1044" s="421" t="s">
        <v>712</v>
      </c>
      <c r="B1044" s="415">
        <f>VLOOKUP(B1020,'BANG LUONG 1'!$B$5:$AJ$56,32,0)</f>
        <v>0</v>
      </c>
      <c r="C1044" s="421"/>
      <c r="D1044" s="41"/>
    </row>
    <row r="1045" spans="1:5" x14ac:dyDescent="0.25">
      <c r="A1045" s="421" t="s">
        <v>713</v>
      </c>
      <c r="B1045" s="415">
        <f>VLOOKUP(B1020,'BANG LUONG 1'!$B$5:$AJ$56,33,0)</f>
        <v>132000</v>
      </c>
      <c r="C1045" s="421"/>
      <c r="D1045" s="41"/>
    </row>
    <row r="1046" spans="1:5" x14ac:dyDescent="0.25">
      <c r="A1046" s="183" t="s">
        <v>707</v>
      </c>
      <c r="B1046" s="415">
        <f>VLOOKUP(B1020,'BANG LUONG 1'!$B$5:$AJ$56,30,0)</f>
        <v>100000</v>
      </c>
      <c r="C1046" s="421"/>
      <c r="D1046" s="41"/>
      <c r="E1046" s="108" t="str">
        <f>B1021</f>
        <v>Lương Trường Giang</v>
      </c>
    </row>
    <row r="1047" spans="1:5" x14ac:dyDescent="0.25">
      <c r="A1047" s="183" t="s">
        <v>546</v>
      </c>
      <c r="B1047" s="415">
        <f>VLOOKUP(B1020,'BANG LUONG 1'!$B$5:$AJ$56,35,0)</f>
        <v>14379000</v>
      </c>
      <c r="C1047" s="421"/>
      <c r="D1047" s="41"/>
    </row>
    <row r="1048" spans="1:5" x14ac:dyDescent="0.25">
      <c r="A1048" s="184" t="s">
        <v>549</v>
      </c>
      <c r="B1048" s="424">
        <f>'BANG LUONG 1'!$P$3</f>
        <v>43733</v>
      </c>
    </row>
    <row r="1049" spans="1:5" x14ac:dyDescent="0.25">
      <c r="A1049" s="183" t="s">
        <v>1</v>
      </c>
      <c r="B1049" s="185" t="s">
        <v>164</v>
      </c>
      <c r="C1049" s="421">
        <v>1</v>
      </c>
      <c r="D1049" s="41"/>
    </row>
    <row r="1050" spans="1:5" x14ac:dyDescent="0.25">
      <c r="A1050" s="183" t="s">
        <v>2</v>
      </c>
      <c r="B1050" s="185" t="str">
        <f>VLOOKUP($B1049,'BANG LUONG 1'!$B$6:$AB$51,C1050,0)</f>
        <v>Bùi Trọng Nghĩa</v>
      </c>
      <c r="C1050" s="421">
        <v>2</v>
      </c>
      <c r="D1050" s="41"/>
    </row>
    <row r="1051" spans="1:5" x14ac:dyDescent="0.25">
      <c r="A1051" s="421" t="s">
        <v>3</v>
      </c>
      <c r="B1051" s="41" t="str">
        <f>VLOOKUP($B1049,'BANG LUONG 1'!$B$6:$AJ$51,C1051,0)</f>
        <v xml:space="preserve">Công nhân </v>
      </c>
      <c r="C1051" s="421">
        <v>3</v>
      </c>
      <c r="D1051" s="41"/>
    </row>
    <row r="1052" spans="1:5" x14ac:dyDescent="0.25">
      <c r="A1052" s="421" t="s">
        <v>376</v>
      </c>
      <c r="B1052" s="410">
        <f>VLOOKUP($B1049,'BANG LUONG 1'!$B$5:$AJ$56,4,0)</f>
        <v>43620</v>
      </c>
      <c r="C1052" s="421">
        <v>4</v>
      </c>
      <c r="D1052" s="41"/>
    </row>
    <row r="1053" spans="1:5" x14ac:dyDescent="0.25">
      <c r="A1053" s="421" t="s">
        <v>698</v>
      </c>
      <c r="B1053" s="411">
        <f>VLOOKUP(B1049,'BANG LUONG 1'!$B$5:$AJ$56,6,0)</f>
        <v>0</v>
      </c>
      <c r="C1053" s="421">
        <v>5</v>
      </c>
      <c r="D1053" s="41"/>
    </row>
    <row r="1054" spans="1:5" x14ac:dyDescent="0.25">
      <c r="A1054" s="421" t="s">
        <v>229</v>
      </c>
      <c r="B1054" s="412">
        <f>'thang luong moi'!$F$5</f>
        <v>4012500</v>
      </c>
      <c r="C1054" s="421">
        <v>6</v>
      </c>
      <c r="D1054" s="41"/>
    </row>
    <row r="1055" spans="1:5" x14ac:dyDescent="0.25">
      <c r="A1055" s="421" t="s">
        <v>217</v>
      </c>
      <c r="B1055" s="412" t="str">
        <f>VLOOKUP(B1049,'BANG LUONG 1'!$B$5:$AJ$56,8,0)</f>
        <v>B.05</v>
      </c>
      <c r="C1055" s="421">
        <v>7</v>
      </c>
      <c r="D1055" s="41"/>
    </row>
    <row r="1056" spans="1:5" x14ac:dyDescent="0.25">
      <c r="A1056" s="421" t="s">
        <v>230</v>
      </c>
      <c r="B1056" s="412">
        <f>VLOOKUP(B1049,'BANG LUONG 1'!$B$5:$AJ$56,9,0)</f>
        <v>1</v>
      </c>
      <c r="C1056" s="421">
        <v>8</v>
      </c>
      <c r="D1056" s="41"/>
    </row>
    <row r="1057" spans="1:5" x14ac:dyDescent="0.25">
      <c r="A1057" s="421" t="s">
        <v>538</v>
      </c>
      <c r="B1057" s="412">
        <f>VLOOKUP(B1049,'BANG LUONG 1'!$B$5:$AJ$56,11,0)</f>
        <v>4213125</v>
      </c>
      <c r="C1057" s="421">
        <v>9</v>
      </c>
      <c r="D1057" s="41"/>
    </row>
    <row r="1058" spans="1:5" x14ac:dyDescent="0.25">
      <c r="A1058" s="421" t="s">
        <v>354</v>
      </c>
      <c r="B1058" s="412">
        <f>VLOOKUP(B1049,'BANG LUONG 1'!$B$5:$AJ$56,12,0)</f>
        <v>0</v>
      </c>
      <c r="C1058" s="421">
        <v>10</v>
      </c>
      <c r="D1058" s="41"/>
    </row>
    <row r="1059" spans="1:5" x14ac:dyDescent="0.25">
      <c r="A1059" s="421" t="s">
        <v>534</v>
      </c>
      <c r="B1059" s="412">
        <f>VLOOKUP(B1049,'BANG LUONG 1'!$B$5:$AJ$56,13,0)</f>
        <v>0</v>
      </c>
      <c r="C1059" s="421">
        <v>11</v>
      </c>
      <c r="D1059" s="41"/>
    </row>
    <row r="1060" spans="1:5" x14ac:dyDescent="0.25">
      <c r="A1060" s="421" t="s">
        <v>592</v>
      </c>
      <c r="B1060" s="412">
        <f>VLOOKUP(B1049,'BANG LUONG 1'!$B$5:$AJ$56,14,0)</f>
        <v>0</v>
      </c>
      <c r="C1060" s="421">
        <v>12</v>
      </c>
      <c r="D1060" s="41">
        <f>B1057/26*B1060</f>
        <v>0</v>
      </c>
    </row>
    <row r="1061" spans="1:5" x14ac:dyDescent="0.25">
      <c r="A1061" s="421" t="s">
        <v>357</v>
      </c>
      <c r="B1061" s="412">
        <f>VLOOKUP(B1049,'BANG LUONG 1'!$B$5:$AJ$56,15,0)</f>
        <v>0</v>
      </c>
      <c r="C1061" s="421">
        <v>13</v>
      </c>
      <c r="D1061" s="41">
        <f>B1057/26/8*1.5*B1061</f>
        <v>0</v>
      </c>
    </row>
    <row r="1062" spans="1:5" x14ac:dyDescent="0.25">
      <c r="A1062" s="421" t="s">
        <v>387</v>
      </c>
      <c r="B1062" s="412">
        <f>VLOOKUP(B1049,'BANG LUONG 1'!$B$5:$AJ$56,16,0)</f>
        <v>0</v>
      </c>
      <c r="C1062" s="421">
        <v>14</v>
      </c>
      <c r="D1062" s="41">
        <f>B1057/26/8*2*B1062</f>
        <v>0</v>
      </c>
    </row>
    <row r="1063" spans="1:5" x14ac:dyDescent="0.25">
      <c r="A1063" s="421" t="s">
        <v>593</v>
      </c>
      <c r="B1063" s="412">
        <f>VLOOKUP(B1049,'BANG LUONG 1'!$B$5:$AJ$56,17,0)</f>
        <v>0</v>
      </c>
      <c r="C1063" s="421"/>
      <c r="D1063" s="41">
        <f>(B1057/26)*B1063</f>
        <v>0</v>
      </c>
    </row>
    <row r="1064" spans="1:5" x14ac:dyDescent="0.25">
      <c r="A1064" s="421" t="s">
        <v>388</v>
      </c>
      <c r="B1064" s="412">
        <f>VLOOKUP(B1049,'BANG LUONG 1'!$B$5:$AJ$56,18,0)</f>
        <v>0</v>
      </c>
      <c r="C1064" s="421">
        <v>15</v>
      </c>
      <c r="D1064" s="41">
        <f>(B1057/26*B1064)*3</f>
        <v>0</v>
      </c>
    </row>
    <row r="1065" spans="1:5" x14ac:dyDescent="0.25">
      <c r="A1065" s="421" t="s">
        <v>533</v>
      </c>
      <c r="B1065" s="412">
        <f>VLOOKUP(B1049,'BANG LUONG 1'!$B$5:$AJ$56,19,0)</f>
        <v>0</v>
      </c>
      <c r="C1065" s="183">
        <v>16</v>
      </c>
      <c r="D1065" s="185">
        <f>B1059+D1061+D1062+D1060+D1064+D1063</f>
        <v>0</v>
      </c>
      <c r="E1065" s="108"/>
    </row>
    <row r="1066" spans="1:5" x14ac:dyDescent="0.25">
      <c r="A1066" s="421" t="s">
        <v>535</v>
      </c>
      <c r="B1066" s="412">
        <f>VLOOKUP(B1049,'BANG LUONG 1'!$B$5:$AJ$56,20,0)</f>
        <v>0</v>
      </c>
      <c r="C1066" s="421">
        <v>17</v>
      </c>
      <c r="D1066" s="41"/>
    </row>
    <row r="1067" spans="1:5" x14ac:dyDescent="0.25">
      <c r="A1067" s="421" t="s">
        <v>370</v>
      </c>
      <c r="B1067" s="412">
        <f>VLOOKUP(B1049,'BANG LUONG 1'!$B$5:$AJ$56,22,0)</f>
        <v>0</v>
      </c>
      <c r="C1067" s="421">
        <v>18</v>
      </c>
      <c r="D1067" s="41"/>
    </row>
    <row r="1068" spans="1:5" x14ac:dyDescent="0.25">
      <c r="A1068" s="421" t="s">
        <v>371</v>
      </c>
      <c r="B1068" s="412">
        <f>VLOOKUP(B1049,'BANG LUONG 1'!$B$5:$AJ$56,23,0)</f>
        <v>0</v>
      </c>
      <c r="C1068" s="421">
        <v>19</v>
      </c>
      <c r="D1068" s="41"/>
    </row>
    <row r="1069" spans="1:5" x14ac:dyDescent="0.25">
      <c r="A1069" s="421" t="s">
        <v>560</v>
      </c>
      <c r="B1069" s="412">
        <f>VLOOKUP(B1049,'BANG LUONG 1'!$B$5:$AJ$56,24,0)</f>
        <v>0</v>
      </c>
      <c r="C1069" s="421">
        <v>22</v>
      </c>
      <c r="D1069" s="41"/>
    </row>
    <row r="1070" spans="1:5" x14ac:dyDescent="0.25">
      <c r="A1070" s="183" t="s">
        <v>237</v>
      </c>
      <c r="B1070" s="415">
        <f>VLOOKUP(B1049,'BANG LUONG 1'!$B$5:$AJ$56,26,0)</f>
        <v>0</v>
      </c>
      <c r="C1070" s="421">
        <v>24</v>
      </c>
      <c r="D1070" s="41"/>
    </row>
    <row r="1071" spans="1:5" x14ac:dyDescent="0.25">
      <c r="A1071" s="421" t="s">
        <v>545</v>
      </c>
      <c r="B1071" s="412">
        <f>VLOOKUP(B1049,'BANG LUONG 1'!$B$5:$AJ$56,27,0)</f>
        <v>0</v>
      </c>
      <c r="C1071" s="421">
        <v>25</v>
      </c>
      <c r="D1071" s="41"/>
    </row>
    <row r="1072" spans="1:5" x14ac:dyDescent="0.25">
      <c r="A1072" s="421" t="s">
        <v>544</v>
      </c>
      <c r="B1072" s="412">
        <f>VLOOKUP(B1049,'BANG LUONG 1'!$B$5:$AJ$56,28,0)</f>
        <v>0</v>
      </c>
      <c r="C1072" s="421">
        <v>26</v>
      </c>
      <c r="D1072" s="41"/>
    </row>
    <row r="1073" spans="1:5" x14ac:dyDescent="0.25">
      <c r="A1073" s="421" t="s">
        <v>712</v>
      </c>
      <c r="B1073" s="415">
        <f>VLOOKUP(B1049,'BANG LUONG 1'!$B$5:$AJ$56,32,0)</f>
        <v>0</v>
      </c>
      <c r="C1073" s="421"/>
      <c r="D1073" s="41"/>
    </row>
    <row r="1074" spans="1:5" x14ac:dyDescent="0.25">
      <c r="A1074" s="421" t="s">
        <v>713</v>
      </c>
      <c r="B1074" s="415">
        <f>VLOOKUP(B1049,'BANG LUONG 1'!$B$5:$AJ$56,33,0)</f>
        <v>0</v>
      </c>
      <c r="C1074" s="421"/>
      <c r="D1074" s="41"/>
    </row>
    <row r="1075" spans="1:5" x14ac:dyDescent="0.25">
      <c r="A1075" s="183" t="s">
        <v>707</v>
      </c>
      <c r="B1075" s="415">
        <f>VLOOKUP(B1049,'BANG LUONG 1'!$B$5:$AJ$56,30,0)</f>
        <v>0</v>
      </c>
      <c r="C1075" s="421"/>
      <c r="D1075" s="41"/>
      <c r="E1075" s="108" t="str">
        <f>B1050</f>
        <v>Bùi Trọng Nghĩa</v>
      </c>
    </row>
    <row r="1076" spans="1:5" x14ac:dyDescent="0.25">
      <c r="A1076" s="183" t="s">
        <v>546</v>
      </c>
      <c r="B1076" s="415">
        <f>VLOOKUP(B1049,'BANG LUONG 1'!$B$5:$AJ$56,35,0)</f>
        <v>0</v>
      </c>
      <c r="C1076" s="421"/>
      <c r="D1076" s="41"/>
    </row>
    <row r="1077" spans="1:5" x14ac:dyDescent="0.25">
      <c r="A1077" s="184" t="s">
        <v>549</v>
      </c>
      <c r="B1077" s="424">
        <f>'BANG LUONG 1'!$P$3</f>
        <v>43733</v>
      </c>
    </row>
    <row r="1078" spans="1:5" x14ac:dyDescent="0.25">
      <c r="A1078" s="183" t="s">
        <v>1</v>
      </c>
      <c r="B1078" s="185" t="s">
        <v>166</v>
      </c>
      <c r="C1078" s="421">
        <v>1</v>
      </c>
      <c r="D1078" s="41"/>
    </row>
    <row r="1079" spans="1:5" x14ac:dyDescent="0.25">
      <c r="A1079" s="183" t="s">
        <v>2</v>
      </c>
      <c r="B1079" s="185" t="str">
        <f>VLOOKUP($B1078,'BANG LUONG 1'!$B$6:$AB$51,C1079,0)</f>
        <v>Nguyễn Đình Tâm</v>
      </c>
      <c r="C1079" s="421">
        <v>2</v>
      </c>
      <c r="D1079" s="41"/>
    </row>
    <row r="1080" spans="1:5" x14ac:dyDescent="0.25">
      <c r="A1080" s="421" t="s">
        <v>3</v>
      </c>
      <c r="B1080" s="41" t="str">
        <f>VLOOKUP($B1078,'BANG LUONG 1'!$B$6:$AJ$51,C1080,0)</f>
        <v xml:space="preserve">Công nhân </v>
      </c>
      <c r="C1080" s="421">
        <v>3</v>
      </c>
      <c r="D1080" s="41"/>
    </row>
    <row r="1081" spans="1:5" x14ac:dyDescent="0.25">
      <c r="A1081" s="421" t="s">
        <v>376</v>
      </c>
      <c r="B1081" s="410">
        <f>VLOOKUP($B1078,'BANG LUONG 1'!$B$5:$AJ$56,4,0)</f>
        <v>43648</v>
      </c>
      <c r="C1081" s="421">
        <v>4</v>
      </c>
      <c r="D1081" s="41"/>
    </row>
    <row r="1082" spans="1:5" x14ac:dyDescent="0.25">
      <c r="A1082" s="421" t="s">
        <v>698</v>
      </c>
      <c r="B1082" s="411">
        <f>VLOOKUP(B1078,'BANG LUONG 1'!$B$5:$AJ$56,6,0)</f>
        <v>0</v>
      </c>
      <c r="C1082" s="421">
        <v>5</v>
      </c>
      <c r="D1082" s="41"/>
    </row>
    <row r="1083" spans="1:5" x14ac:dyDescent="0.25">
      <c r="A1083" s="421" t="s">
        <v>229</v>
      </c>
      <c r="B1083" s="412">
        <f>'thang luong moi'!$F$5</f>
        <v>4012500</v>
      </c>
      <c r="C1083" s="421">
        <v>6</v>
      </c>
      <c r="D1083" s="41"/>
    </row>
    <row r="1084" spans="1:5" x14ac:dyDescent="0.25">
      <c r="A1084" s="421" t="s">
        <v>217</v>
      </c>
      <c r="B1084" s="412" t="str">
        <f>VLOOKUP(B1078,'BANG LUONG 1'!$B$5:$AJ$56,8,0)</f>
        <v>B.05</v>
      </c>
      <c r="C1084" s="421">
        <v>7</v>
      </c>
      <c r="D1084" s="41"/>
    </row>
    <row r="1085" spans="1:5" x14ac:dyDescent="0.25">
      <c r="A1085" s="421" t="s">
        <v>230</v>
      </c>
      <c r="B1085" s="412">
        <f>VLOOKUP(B1078,'BANG LUONG 1'!$B$5:$AJ$56,9,0)</f>
        <v>1</v>
      </c>
      <c r="C1085" s="421">
        <v>8</v>
      </c>
      <c r="D1085" s="41"/>
    </row>
    <row r="1086" spans="1:5" x14ac:dyDescent="0.25">
      <c r="A1086" s="421" t="s">
        <v>538</v>
      </c>
      <c r="B1086" s="412">
        <f>VLOOKUP(B1078,'BANG LUONG 1'!$B$5:$AJ$56,11,0)</f>
        <v>4213125</v>
      </c>
      <c r="C1086" s="421">
        <v>9</v>
      </c>
      <c r="D1086" s="41"/>
    </row>
    <row r="1087" spans="1:5" x14ac:dyDescent="0.25">
      <c r="A1087" s="421" t="s">
        <v>354</v>
      </c>
      <c r="B1087" s="412">
        <f>VLOOKUP(B1078,'BANG LUONG 1'!$B$5:$AJ$56,12,0)</f>
        <v>26</v>
      </c>
      <c r="C1087" s="421">
        <v>10</v>
      </c>
      <c r="D1087" s="41"/>
    </row>
    <row r="1088" spans="1:5" x14ac:dyDescent="0.25">
      <c r="A1088" s="421" t="s">
        <v>534</v>
      </c>
      <c r="B1088" s="412">
        <f>VLOOKUP(B1078,'BANG LUONG 1'!$B$5:$AJ$56,13,0)</f>
        <v>4213125</v>
      </c>
      <c r="C1088" s="421">
        <v>11</v>
      </c>
      <c r="D1088" s="41"/>
    </row>
    <row r="1089" spans="1:11" x14ac:dyDescent="0.25">
      <c r="A1089" s="421" t="s">
        <v>592</v>
      </c>
      <c r="B1089" s="412">
        <f>VLOOKUP(B1078,'BANG LUONG 1'!$B$5:$AJ$56,14,0)</f>
        <v>0</v>
      </c>
      <c r="C1089" s="421">
        <v>12</v>
      </c>
      <c r="D1089" s="41">
        <f>B1086/26*B1089</f>
        <v>0</v>
      </c>
    </row>
    <row r="1090" spans="1:11" x14ac:dyDescent="0.25">
      <c r="A1090" s="421" t="s">
        <v>357</v>
      </c>
      <c r="B1090" s="412">
        <f>VLOOKUP(B1078,'BANG LUONG 1'!$B$5:$AJ$56,15,0)</f>
        <v>0</v>
      </c>
      <c r="C1090" s="421">
        <v>13</v>
      </c>
      <c r="D1090" s="41">
        <f>B1086/26/8*1.5*B1090</f>
        <v>0</v>
      </c>
    </row>
    <row r="1091" spans="1:11" x14ac:dyDescent="0.25">
      <c r="A1091" s="421" t="s">
        <v>387</v>
      </c>
      <c r="B1091" s="412">
        <f>VLOOKUP(B1078,'BANG LUONG 1'!$B$5:$AJ$56,16,0)</f>
        <v>24</v>
      </c>
      <c r="C1091" s="421">
        <v>14</v>
      </c>
      <c r="D1091" s="41">
        <f>B1086/26/8*2*B1091</f>
        <v>972259.61538461526</v>
      </c>
    </row>
    <row r="1092" spans="1:11" x14ac:dyDescent="0.25">
      <c r="A1092" s="421" t="s">
        <v>593</v>
      </c>
      <c r="B1092" s="412">
        <f>VLOOKUP(B1078,'BANG LUONG 1'!$B$5:$AJ$56,17,0)</f>
        <v>1</v>
      </c>
      <c r="C1092" s="421"/>
      <c r="D1092" s="41">
        <f>(B1086/26)*B1092</f>
        <v>162043.26923076922</v>
      </c>
    </row>
    <row r="1093" spans="1:11" x14ac:dyDescent="0.25">
      <c r="A1093" s="421" t="s">
        <v>388</v>
      </c>
      <c r="B1093" s="412">
        <f>VLOOKUP(B1078,'BANG LUONG 1'!$B$5:$AJ$56,18,0)</f>
        <v>0</v>
      </c>
      <c r="C1093" s="421">
        <v>15</v>
      </c>
      <c r="D1093" s="41">
        <f>(B1086/26*B1093)*3</f>
        <v>0</v>
      </c>
    </row>
    <row r="1094" spans="1:11" x14ac:dyDescent="0.25">
      <c r="A1094" s="421" t="s">
        <v>533</v>
      </c>
      <c r="B1094" s="412">
        <f>VLOOKUP(B1078,'BANG LUONG 1'!$B$5:$AJ$56,19,0)</f>
        <v>5347427.884615384</v>
      </c>
      <c r="C1094" s="183">
        <v>16</v>
      </c>
      <c r="D1094" s="185">
        <f>B1088+D1090+D1091+D1089+D1093+D1092</f>
        <v>5347427.884615384</v>
      </c>
      <c r="E1094" s="108"/>
    </row>
    <row r="1095" spans="1:11" x14ac:dyDescent="0.25">
      <c r="A1095" s="421" t="s">
        <v>535</v>
      </c>
      <c r="B1095" s="412">
        <f>VLOOKUP(B1078,'BANG LUONG 1'!$B$5:$AJ$56,20,0)</f>
        <v>806105.76923076902</v>
      </c>
      <c r="C1095" s="421">
        <v>17</v>
      </c>
      <c r="D1095" s="41"/>
    </row>
    <row r="1096" spans="1:11" x14ac:dyDescent="0.25">
      <c r="A1096" s="421" t="s">
        <v>370</v>
      </c>
      <c r="B1096" s="412">
        <f>VLOOKUP(B1078,'BANG LUONG 1'!$B$5:$AJ$56,22,0)</f>
        <v>0</v>
      </c>
      <c r="C1096" s="421">
        <v>18</v>
      </c>
      <c r="D1096" s="41"/>
    </row>
    <row r="1097" spans="1:11" x14ac:dyDescent="0.25">
      <c r="A1097" s="421" t="s">
        <v>371</v>
      </c>
      <c r="B1097" s="412">
        <f>VLOOKUP(B1078,'BANG LUONG 1'!$B$5:$AJ$56,23,0)</f>
        <v>300000</v>
      </c>
      <c r="C1097" s="421">
        <v>19</v>
      </c>
      <c r="D1097" s="41"/>
    </row>
    <row r="1098" spans="1:11" x14ac:dyDescent="0.25">
      <c r="A1098" s="421" t="s">
        <v>560</v>
      </c>
      <c r="B1098" s="412">
        <f>VLOOKUP(B1078,'BANG LUONG 1'!$B$5:$AJ$56,24,0)</f>
        <v>0</v>
      </c>
      <c r="C1098" s="421">
        <v>22</v>
      </c>
      <c r="D1098" s="41"/>
    </row>
    <row r="1099" spans="1:11" x14ac:dyDescent="0.25">
      <c r="A1099" s="183" t="s">
        <v>237</v>
      </c>
      <c r="B1099" s="415">
        <f>VLOOKUP(B1078,'BANG LUONG 1'!$B$5:$AJ$56,26,0)</f>
        <v>6453533.6538461531</v>
      </c>
      <c r="C1099" s="421">
        <v>24</v>
      </c>
      <c r="D1099" s="41"/>
    </row>
    <row r="1100" spans="1:11" x14ac:dyDescent="0.25">
      <c r="A1100" s="421" t="s">
        <v>545</v>
      </c>
      <c r="B1100" s="412">
        <f>VLOOKUP(B1078,'BANG LUONG 1'!$B$5:$AJ$56,27,0)</f>
        <v>4000000</v>
      </c>
      <c r="C1100" s="421">
        <v>25</v>
      </c>
      <c r="D1100" s="41"/>
    </row>
    <row r="1101" spans="1:11" x14ac:dyDescent="0.25">
      <c r="A1101" s="421" t="s">
        <v>544</v>
      </c>
      <c r="B1101" s="412">
        <f>VLOOKUP(B1078,'BANG LUONG 1'!$B$5:$AJ$56,28,0)</f>
        <v>0</v>
      </c>
      <c r="C1101" s="421">
        <v>26</v>
      </c>
      <c r="D1101" s="41"/>
      <c r="K1101" t="s">
        <v>766</v>
      </c>
    </row>
    <row r="1102" spans="1:11" x14ac:dyDescent="0.25">
      <c r="A1102" s="421" t="s">
        <v>712</v>
      </c>
      <c r="B1102" s="415">
        <f>VLOOKUP(B1078,'BANG LUONG 1'!$B$5:$AJ$56,32,0)</f>
        <v>0</v>
      </c>
      <c r="C1102" s="421"/>
      <c r="D1102" s="41"/>
    </row>
    <row r="1103" spans="1:11" x14ac:dyDescent="0.25">
      <c r="A1103" s="421" t="s">
        <v>713</v>
      </c>
      <c r="B1103" s="415">
        <f>VLOOKUP(B1078,'BANG LUONG 1'!$B$5:$AJ$56,33,0)</f>
        <v>0</v>
      </c>
      <c r="C1103" s="421"/>
      <c r="D1103" s="41"/>
    </row>
    <row r="1104" spans="1:11" x14ac:dyDescent="0.25">
      <c r="A1104" s="183" t="s">
        <v>707</v>
      </c>
      <c r="B1104" s="415">
        <f>VLOOKUP(B1078,'BANG LUONG 1'!$B$5:$AJ$56,30,0)</f>
        <v>100000</v>
      </c>
      <c r="C1104" s="421"/>
      <c r="D1104" s="41"/>
      <c r="E1104" s="108" t="str">
        <f>B1079</f>
        <v>Nguyễn Đình Tâm</v>
      </c>
    </row>
    <row r="1105" spans="1:4" ht="15.75" customHeight="1" x14ac:dyDescent="0.25">
      <c r="A1105" s="183" t="s">
        <v>546</v>
      </c>
      <c r="B1105" s="415">
        <f>VLOOKUP(B1078,'BANG LUONG 1'!$B$5:$AJ$56,35,0)</f>
        <v>2554000</v>
      </c>
      <c r="C1105" s="421"/>
      <c r="D1105" s="41"/>
    </row>
    <row r="1106" spans="1:4" x14ac:dyDescent="0.25">
      <c r="A1106" s="184" t="s">
        <v>549</v>
      </c>
      <c r="B1106" s="424">
        <f>'BANG LUONG 1'!$P$3</f>
        <v>43733</v>
      </c>
    </row>
    <row r="1107" spans="1:4" ht="15.75" customHeight="1" x14ac:dyDescent="0.25">
      <c r="A1107" s="183" t="s">
        <v>1</v>
      </c>
      <c r="B1107" s="185" t="s">
        <v>167</v>
      </c>
      <c r="C1107" s="421">
        <v>1</v>
      </c>
      <c r="D1107" s="41"/>
    </row>
    <row r="1108" spans="1:4" ht="15.75" customHeight="1" x14ac:dyDescent="0.25">
      <c r="A1108" s="183" t="s">
        <v>2</v>
      </c>
      <c r="B1108" s="185" t="str">
        <f>VLOOKUP($B1107,'BANG LUONG 1'!$B$6:$AB$54,C1108,0)</f>
        <v>Phùng Nhật Nam</v>
      </c>
      <c r="C1108" s="421">
        <v>2</v>
      </c>
      <c r="D1108" s="41"/>
    </row>
    <row r="1109" spans="1:4" ht="15.75" customHeight="1" x14ac:dyDescent="0.25">
      <c r="A1109" s="421" t="s">
        <v>3</v>
      </c>
      <c r="B1109" s="41" t="str">
        <f>VLOOKUP($B1107,'BANG LUONG 1'!$B$6:$AJ$54,C1109,0)</f>
        <v>Công nhân</v>
      </c>
      <c r="C1109" s="421">
        <v>3</v>
      </c>
      <c r="D1109" s="41"/>
    </row>
    <row r="1110" spans="1:4" ht="15.75" customHeight="1" x14ac:dyDescent="0.25">
      <c r="A1110" s="421" t="s">
        <v>376</v>
      </c>
      <c r="B1110" s="410">
        <f>VLOOKUP($B1107,'BANG LUONG 1'!$B$5:$AJ$56,4,0)</f>
        <v>43668</v>
      </c>
      <c r="C1110" s="421">
        <v>4</v>
      </c>
      <c r="D1110" s="41"/>
    </row>
    <row r="1111" spans="1:4" ht="15.75" customHeight="1" x14ac:dyDescent="0.25">
      <c r="A1111" s="421" t="s">
        <v>698</v>
      </c>
      <c r="B1111" s="411">
        <f>VLOOKUP(B1107,'BANG LUONG 1'!$B$5:$AJ$56,6,0)</f>
        <v>0</v>
      </c>
      <c r="C1111" s="421">
        <v>5</v>
      </c>
      <c r="D1111" s="41"/>
    </row>
    <row r="1112" spans="1:4" ht="15.75" customHeight="1" x14ac:dyDescent="0.25">
      <c r="A1112" s="421" t="s">
        <v>229</v>
      </c>
      <c r="B1112" s="412">
        <f>'thang luong moi'!$F$5</f>
        <v>4012500</v>
      </c>
      <c r="C1112" s="421">
        <v>6</v>
      </c>
      <c r="D1112" s="41"/>
    </row>
    <row r="1113" spans="1:4" ht="15.75" customHeight="1" x14ac:dyDescent="0.25">
      <c r="A1113" s="421" t="s">
        <v>217</v>
      </c>
      <c r="B1113" s="412" t="str">
        <f>VLOOKUP(B1107,'BANG LUONG 1'!$B$5:$AJ$56,8,0)</f>
        <v>B.05</v>
      </c>
      <c r="C1113" s="421">
        <v>7</v>
      </c>
      <c r="D1113" s="41"/>
    </row>
    <row r="1114" spans="1:4" ht="15.75" customHeight="1" x14ac:dyDescent="0.25">
      <c r="A1114" s="421" t="s">
        <v>230</v>
      </c>
      <c r="B1114" s="412">
        <f>VLOOKUP(B1107,'BANG LUONG 1'!$B$5:$AJ$56,9,0)</f>
        <v>1</v>
      </c>
      <c r="C1114" s="421">
        <v>8</v>
      </c>
      <c r="D1114" s="41"/>
    </row>
    <row r="1115" spans="1:4" ht="13.5" customHeight="1" x14ac:dyDescent="0.25">
      <c r="A1115" s="421" t="s">
        <v>538</v>
      </c>
      <c r="B1115" s="412">
        <f>VLOOKUP(B1107,'BANG LUONG 1'!$B$5:$AJ$56,11,0)</f>
        <v>4213125</v>
      </c>
      <c r="C1115" s="421">
        <v>9</v>
      </c>
      <c r="D1115" s="41"/>
    </row>
    <row r="1116" spans="1:4" x14ac:dyDescent="0.25">
      <c r="A1116" s="421" t="s">
        <v>354</v>
      </c>
      <c r="B1116" s="412">
        <f>VLOOKUP(B1107,'BANG LUONG 1'!$B$5:$AJ$56,12,0)</f>
        <v>9.5</v>
      </c>
      <c r="C1116" s="421">
        <v>10</v>
      </c>
      <c r="D1116" s="41"/>
    </row>
    <row r="1117" spans="1:4" x14ac:dyDescent="0.25">
      <c r="A1117" s="421" t="s">
        <v>534</v>
      </c>
      <c r="B1117" s="412">
        <f>VLOOKUP(B1107,'BANG LUONG 1'!$B$5:$AJ$56,13,0)</f>
        <v>1539411.0576923075</v>
      </c>
      <c r="C1117" s="421">
        <v>11</v>
      </c>
      <c r="D1117" s="41"/>
    </row>
    <row r="1118" spans="1:4" x14ac:dyDescent="0.25">
      <c r="A1118" s="421" t="s">
        <v>592</v>
      </c>
      <c r="B1118" s="412">
        <f>VLOOKUP(B1107,'BANG LUONG 1'!$B$5:$AJ$56,14,0)</f>
        <v>0</v>
      </c>
      <c r="C1118" s="421">
        <v>12</v>
      </c>
      <c r="D1118" s="41">
        <f>B1115/26*B1118</f>
        <v>0</v>
      </c>
    </row>
    <row r="1119" spans="1:4" x14ac:dyDescent="0.25">
      <c r="A1119" s="421" t="s">
        <v>357</v>
      </c>
      <c r="B1119" s="412">
        <f>VLOOKUP(B1107,'BANG LUONG 1'!$B$5:$AJ$56,15,0)</f>
        <v>0</v>
      </c>
      <c r="C1119" s="421">
        <v>13</v>
      </c>
      <c r="D1119" s="41">
        <f>B1115/26/8*1.5*B1119</f>
        <v>0</v>
      </c>
    </row>
    <row r="1120" spans="1:4" x14ac:dyDescent="0.25">
      <c r="A1120" s="421" t="s">
        <v>387</v>
      </c>
      <c r="B1120" s="412">
        <f>VLOOKUP(B1107,'BANG LUONG 1'!$B$5:$AJ$56,16,0)</f>
        <v>0</v>
      </c>
      <c r="C1120" s="421">
        <v>14</v>
      </c>
      <c r="D1120" s="41">
        <f>B1115/26/8*2*B1120</f>
        <v>0</v>
      </c>
    </row>
    <row r="1121" spans="1:5" x14ac:dyDescent="0.25">
      <c r="A1121" s="421" t="s">
        <v>593</v>
      </c>
      <c r="B1121" s="412">
        <f>VLOOKUP(B1107,'BANG LUONG 1'!$B$5:$AJ$56,17,0)</f>
        <v>0</v>
      </c>
      <c r="C1121" s="421"/>
      <c r="D1121" s="41">
        <f>(B1115/26)*B1121</f>
        <v>0</v>
      </c>
    </row>
    <row r="1122" spans="1:5" x14ac:dyDescent="0.25">
      <c r="A1122" s="421" t="s">
        <v>388</v>
      </c>
      <c r="B1122" s="412">
        <f>VLOOKUP(B1107,'BANG LUONG 1'!$B$5:$AJ$56,18,0)</f>
        <v>1</v>
      </c>
      <c r="C1122" s="421">
        <v>15</v>
      </c>
      <c r="D1122" s="41">
        <f>(B1115/26*B1122)*3</f>
        <v>486129.80769230763</v>
      </c>
    </row>
    <row r="1123" spans="1:5" x14ac:dyDescent="0.25">
      <c r="A1123" s="421" t="s">
        <v>533</v>
      </c>
      <c r="B1123" s="412">
        <f>VLOOKUP(B1107,'BANG LUONG 1'!$B$5:$AJ$56,19,0)</f>
        <v>2025540.865384615</v>
      </c>
      <c r="C1123" s="183">
        <v>16</v>
      </c>
      <c r="D1123" s="185">
        <f>B1117+D1119+D1120+D1118+D1122+D1121</f>
        <v>2025540.865384615</v>
      </c>
      <c r="E1123" s="108"/>
    </row>
    <row r="1124" spans="1:5" x14ac:dyDescent="0.25">
      <c r="A1124" s="421" t="s">
        <v>535</v>
      </c>
      <c r="B1124" s="412">
        <f>VLOOKUP(B1107,'BANG LUONG 1'!$B$5:$AJ$56,20,0)</f>
        <v>4490288.942307692</v>
      </c>
      <c r="C1124" s="421">
        <v>17</v>
      </c>
      <c r="D1124" s="41"/>
    </row>
    <row r="1125" spans="1:5" x14ac:dyDescent="0.25">
      <c r="A1125" s="421" t="s">
        <v>370</v>
      </c>
      <c r="B1125" s="412">
        <f>VLOOKUP(B1107,'BANG LUONG 1'!$B$5:$AJ$56,22,0)</f>
        <v>0</v>
      </c>
      <c r="C1125" s="421">
        <v>18</v>
      </c>
      <c r="D1125" s="41"/>
    </row>
    <row r="1126" spans="1:5" x14ac:dyDescent="0.25">
      <c r="A1126" s="421" t="s">
        <v>371</v>
      </c>
      <c r="B1126" s="412">
        <f>VLOOKUP(B1107,'BANG LUONG 1'!$B$5:$AJ$56,23,0)</f>
        <v>0</v>
      </c>
      <c r="C1126" s="421">
        <v>19</v>
      </c>
      <c r="D1126" s="41"/>
    </row>
    <row r="1127" spans="1:5" x14ac:dyDescent="0.25">
      <c r="A1127" s="421" t="s">
        <v>560</v>
      </c>
      <c r="B1127" s="412">
        <f>VLOOKUP(B1107,'BANG LUONG 1'!$B$5:$AJ$56,24,0)</f>
        <v>0</v>
      </c>
      <c r="C1127" s="421">
        <v>22</v>
      </c>
      <c r="D1127" s="41"/>
    </row>
    <row r="1128" spans="1:5" x14ac:dyDescent="0.25">
      <c r="A1128" s="183" t="s">
        <v>237</v>
      </c>
      <c r="B1128" s="415">
        <f>VLOOKUP(B1107,'BANG LUONG 1'!$B$5:$AJ$56,26,0)</f>
        <v>6515829.807692307</v>
      </c>
      <c r="C1128" s="421">
        <v>24</v>
      </c>
      <c r="D1128" s="41"/>
    </row>
    <row r="1129" spans="1:5" x14ac:dyDescent="0.25">
      <c r="A1129" s="421" t="s">
        <v>545</v>
      </c>
      <c r="B1129" s="412">
        <f>VLOOKUP(B1107,'BANG LUONG 1'!$B$5:$AJ$56,27,0)</f>
        <v>3000000</v>
      </c>
      <c r="C1129" s="421">
        <v>25</v>
      </c>
      <c r="D1129" s="41"/>
    </row>
    <row r="1130" spans="1:5" x14ac:dyDescent="0.25">
      <c r="A1130" s="421" t="s">
        <v>544</v>
      </c>
      <c r="B1130" s="412">
        <f>VLOOKUP(B1107,'BANG LUONG 1'!$B$5:$AJ$56,28,0)</f>
        <v>0</v>
      </c>
      <c r="C1130" s="421">
        <v>26</v>
      </c>
      <c r="D1130" s="41"/>
    </row>
    <row r="1131" spans="1:5" x14ac:dyDescent="0.25">
      <c r="A1131" s="421" t="s">
        <v>712</v>
      </c>
      <c r="B1131" s="415">
        <f>VLOOKUP(B1107,'BANG LUONG 1'!$B$5:$AJ$56,32,0)</f>
        <v>0</v>
      </c>
      <c r="C1131" s="421"/>
      <c r="D1131" s="41"/>
    </row>
    <row r="1132" spans="1:5" x14ac:dyDescent="0.25">
      <c r="A1132" s="421" t="s">
        <v>713</v>
      </c>
      <c r="B1132" s="415">
        <f>VLOOKUP(B1107,'BANG LUONG 1'!$B$5:$AJ$56,33,0)</f>
        <v>0</v>
      </c>
      <c r="C1132" s="421"/>
      <c r="D1132" s="41"/>
    </row>
    <row r="1133" spans="1:5" x14ac:dyDescent="0.25">
      <c r="A1133" s="183" t="s">
        <v>707</v>
      </c>
      <c r="B1133" s="415">
        <f>VLOOKUP(B1107,'BANG LUONG 1'!$B$5:$AJ$56,30,0)</f>
        <v>100000</v>
      </c>
      <c r="C1133" s="421"/>
      <c r="D1133" s="41"/>
      <c r="E1133" s="108" t="str">
        <f>B1108</f>
        <v>Phùng Nhật Nam</v>
      </c>
    </row>
    <row r="1134" spans="1:5" ht="15" customHeight="1" x14ac:dyDescent="0.25">
      <c r="A1134" s="183" t="s">
        <v>546</v>
      </c>
      <c r="B1134" s="415">
        <f>VLOOKUP(B1107,'BANG LUONG 1'!$B$5:$AJ$56,35,0)</f>
        <v>3616000</v>
      </c>
      <c r="C1134" s="421"/>
      <c r="D1134" s="41"/>
    </row>
    <row r="1135" spans="1:5" ht="12.75" customHeight="1" x14ac:dyDescent="0.25">
      <c r="A1135" s="184" t="s">
        <v>549</v>
      </c>
      <c r="B1135" s="424">
        <f>'BANG LUONG 1'!$P$3</f>
        <v>43733</v>
      </c>
    </row>
    <row r="1136" spans="1:5" ht="15" customHeight="1" x14ac:dyDescent="0.25">
      <c r="A1136" s="183" t="s">
        <v>1</v>
      </c>
      <c r="B1136" s="185" t="s">
        <v>164</v>
      </c>
      <c r="C1136" s="421">
        <v>1</v>
      </c>
      <c r="D1136" s="41"/>
    </row>
    <row r="1137" spans="1:5" ht="15" customHeight="1" x14ac:dyDescent="0.25">
      <c r="A1137" s="183" t="s">
        <v>2</v>
      </c>
      <c r="B1137" s="185" t="str">
        <f>VLOOKUP($B1136,'BANG LUONG 1'!$B$6:$AB$51,C1137,0)</f>
        <v>Bùi Trọng Nghĩa</v>
      </c>
      <c r="C1137" s="421">
        <v>2</v>
      </c>
      <c r="D1137" s="41"/>
    </row>
    <row r="1138" spans="1:5" ht="15" customHeight="1" x14ac:dyDescent="0.25">
      <c r="A1138" s="421" t="s">
        <v>3</v>
      </c>
      <c r="B1138" s="41" t="str">
        <f>VLOOKUP($B1136,'BANG LUONG 1'!$B$6:$AJ$51,C1138,0)</f>
        <v xml:space="preserve">Công nhân </v>
      </c>
      <c r="C1138" s="421">
        <v>3</v>
      </c>
      <c r="D1138" s="41"/>
    </row>
    <row r="1139" spans="1:5" ht="15" customHeight="1" x14ac:dyDescent="0.25">
      <c r="A1139" s="421" t="s">
        <v>376</v>
      </c>
      <c r="B1139" s="410">
        <f>VLOOKUP($B1136,'BANG LUONG 1'!$B$5:$AJ$56,4,0)</f>
        <v>43620</v>
      </c>
      <c r="C1139" s="421">
        <v>4</v>
      </c>
      <c r="D1139" s="41"/>
    </row>
    <row r="1140" spans="1:5" ht="15" customHeight="1" x14ac:dyDescent="0.25">
      <c r="A1140" s="421" t="s">
        <v>698</v>
      </c>
      <c r="B1140" s="411">
        <f>VLOOKUP(B1136,'BANG LUONG 1'!$B$5:$AJ$56,6,0)</f>
        <v>0</v>
      </c>
      <c r="C1140" s="421">
        <v>5</v>
      </c>
      <c r="D1140" s="41"/>
    </row>
    <row r="1141" spans="1:5" ht="15" customHeight="1" x14ac:dyDescent="0.25">
      <c r="A1141" s="421" t="s">
        <v>229</v>
      </c>
      <c r="B1141" s="412">
        <f>'thang luong moi'!$F$5</f>
        <v>4012500</v>
      </c>
      <c r="C1141" s="421">
        <v>6</v>
      </c>
      <c r="D1141" s="41"/>
    </row>
    <row r="1142" spans="1:5" ht="15" customHeight="1" x14ac:dyDescent="0.25">
      <c r="A1142" s="421" t="s">
        <v>217</v>
      </c>
      <c r="B1142" s="412" t="str">
        <f>VLOOKUP(B1136,'BANG LUONG 1'!$B$5:$AJ$56,8,0)</f>
        <v>B.05</v>
      </c>
      <c r="C1142" s="421">
        <v>7</v>
      </c>
      <c r="D1142" s="41"/>
    </row>
    <row r="1143" spans="1:5" ht="15" customHeight="1" x14ac:dyDescent="0.25">
      <c r="A1143" s="421" t="s">
        <v>230</v>
      </c>
      <c r="B1143" s="412">
        <f>VLOOKUP(B1136,'BANG LUONG 1'!$B$5:$AJ$56,9,0)</f>
        <v>1</v>
      </c>
      <c r="C1143" s="421">
        <v>8</v>
      </c>
      <c r="D1143" s="41"/>
    </row>
    <row r="1144" spans="1:5" ht="15" customHeight="1" x14ac:dyDescent="0.25">
      <c r="A1144" s="421" t="s">
        <v>538</v>
      </c>
      <c r="B1144" s="412">
        <f>VLOOKUP(B1136,'BANG LUONG 1'!$B$5:$AJ$56,11,0)</f>
        <v>4213125</v>
      </c>
      <c r="C1144" s="421">
        <v>9</v>
      </c>
      <c r="D1144" s="41"/>
    </row>
    <row r="1145" spans="1:5" ht="15" customHeight="1" x14ac:dyDescent="0.25">
      <c r="A1145" s="421" t="s">
        <v>354</v>
      </c>
      <c r="B1145" s="412">
        <f>VLOOKUP(B1136,'BANG LUONG 1'!$B$5:$AJ$56,12,0)</f>
        <v>0</v>
      </c>
      <c r="C1145" s="421">
        <v>10</v>
      </c>
      <c r="D1145" s="41"/>
    </row>
    <row r="1146" spans="1:5" ht="15" customHeight="1" x14ac:dyDescent="0.25">
      <c r="A1146" s="421" t="s">
        <v>534</v>
      </c>
      <c r="B1146" s="412">
        <f>VLOOKUP(B1136,'BANG LUONG 1'!$B$5:$AJ$56,13,0)</f>
        <v>0</v>
      </c>
      <c r="C1146" s="421">
        <v>11</v>
      </c>
      <c r="D1146" s="41"/>
    </row>
    <row r="1147" spans="1:5" ht="15" customHeight="1" x14ac:dyDescent="0.25">
      <c r="A1147" s="421" t="s">
        <v>592</v>
      </c>
      <c r="B1147" s="412">
        <f>VLOOKUP(B1136,'BANG LUONG 1'!$B$5:$AJ$56,14,0)</f>
        <v>0</v>
      </c>
      <c r="C1147" s="421">
        <v>12</v>
      </c>
      <c r="D1147" s="41">
        <f>B1144/26*B1147</f>
        <v>0</v>
      </c>
    </row>
    <row r="1148" spans="1:5" ht="15" customHeight="1" x14ac:dyDescent="0.25">
      <c r="A1148" s="421" t="s">
        <v>357</v>
      </c>
      <c r="B1148" s="412">
        <f>VLOOKUP(B1136,'BANG LUONG 1'!$B$5:$AJ$56,15,0)</f>
        <v>0</v>
      </c>
      <c r="C1148" s="421">
        <v>13</v>
      </c>
      <c r="D1148" s="41">
        <f>B1144/26/8*1.5*B1148</f>
        <v>0</v>
      </c>
    </row>
    <row r="1149" spans="1:5" ht="15" customHeight="1" x14ac:dyDescent="0.25">
      <c r="A1149" s="421" t="s">
        <v>387</v>
      </c>
      <c r="B1149" s="412">
        <f>VLOOKUP(B1136,'BANG LUONG 1'!$B$5:$AJ$56,16,0)</f>
        <v>0</v>
      </c>
      <c r="C1149" s="421">
        <v>14</v>
      </c>
      <c r="D1149" s="41">
        <f>B1144/26/8*2*B1149</f>
        <v>0</v>
      </c>
    </row>
    <row r="1150" spans="1:5" ht="15" customHeight="1" x14ac:dyDescent="0.25">
      <c r="A1150" s="421" t="s">
        <v>593</v>
      </c>
      <c r="B1150" s="412">
        <f>VLOOKUP(B1136,'BANG LUONG 1'!$B$5:$AJ$56,17,0)</f>
        <v>0</v>
      </c>
      <c r="C1150" s="421"/>
      <c r="D1150" s="41">
        <f>(B1144/26)*B1150</f>
        <v>0</v>
      </c>
    </row>
    <row r="1151" spans="1:5" ht="15" customHeight="1" x14ac:dyDescent="0.25">
      <c r="A1151" s="421" t="s">
        <v>388</v>
      </c>
      <c r="B1151" s="412">
        <f>VLOOKUP(B1136,'BANG LUONG 1'!$B$5:$AJ$56,18,0)</f>
        <v>0</v>
      </c>
      <c r="C1151" s="421">
        <v>15</v>
      </c>
      <c r="D1151" s="41">
        <f>(B1144/26*B1151)*3</f>
        <v>0</v>
      </c>
    </row>
    <row r="1152" spans="1:5" ht="15" customHeight="1" x14ac:dyDescent="0.25">
      <c r="A1152" s="421" t="s">
        <v>533</v>
      </c>
      <c r="B1152" s="412">
        <f>VLOOKUP(B1136,'BANG LUONG 1'!$B$5:$AJ$56,19,0)</f>
        <v>0</v>
      </c>
      <c r="C1152" s="183">
        <v>16</v>
      </c>
      <c r="D1152" s="185">
        <f>B1146+D1148+D1149+D1147+D1151+D1150</f>
        <v>0</v>
      </c>
      <c r="E1152" s="108"/>
    </row>
    <row r="1153" spans="1:5" ht="15" customHeight="1" x14ac:dyDescent="0.25">
      <c r="A1153" s="421" t="s">
        <v>535</v>
      </c>
      <c r="B1153" s="412">
        <f>VLOOKUP(B1136,'BANG LUONG 1'!$B$5:$AJ$56,20,0)</f>
        <v>0</v>
      </c>
      <c r="C1153" s="421">
        <v>17</v>
      </c>
      <c r="D1153" s="41"/>
    </row>
    <row r="1154" spans="1:5" ht="15" customHeight="1" x14ac:dyDescent="0.25">
      <c r="A1154" s="421" t="s">
        <v>370</v>
      </c>
      <c r="B1154" s="412">
        <f>VLOOKUP(B1136,'BANG LUONG 1'!$B$5:$AJ$56,22,0)</f>
        <v>0</v>
      </c>
      <c r="C1154" s="421">
        <v>18</v>
      </c>
      <c r="D1154" s="41"/>
    </row>
    <row r="1155" spans="1:5" ht="15" customHeight="1" x14ac:dyDescent="0.25">
      <c r="A1155" s="421" t="s">
        <v>371</v>
      </c>
      <c r="B1155" s="412">
        <f>VLOOKUP(B1136,'BANG LUONG 1'!$B$5:$AJ$56,23,0)</f>
        <v>0</v>
      </c>
      <c r="C1155" s="421">
        <v>19</v>
      </c>
      <c r="D1155" s="41"/>
    </row>
    <row r="1156" spans="1:5" ht="15" customHeight="1" x14ac:dyDescent="0.25">
      <c r="A1156" s="421" t="s">
        <v>560</v>
      </c>
      <c r="B1156" s="412">
        <f>VLOOKUP(B1136,'BANG LUONG 1'!$B$5:$AJ$56,24,0)</f>
        <v>0</v>
      </c>
      <c r="C1156" s="421">
        <v>22</v>
      </c>
      <c r="D1156" s="41"/>
    </row>
    <row r="1157" spans="1:5" ht="15" customHeight="1" x14ac:dyDescent="0.25">
      <c r="A1157" s="183" t="s">
        <v>237</v>
      </c>
      <c r="B1157" s="415">
        <f>VLOOKUP(B1136,'BANG LUONG 1'!$B$5:$AJ$56,26,0)</f>
        <v>0</v>
      </c>
      <c r="C1157" s="421">
        <v>24</v>
      </c>
      <c r="D1157" s="41"/>
    </row>
    <row r="1158" spans="1:5" ht="15" customHeight="1" x14ac:dyDescent="0.25">
      <c r="A1158" s="421" t="s">
        <v>545</v>
      </c>
      <c r="B1158" s="412">
        <f>VLOOKUP(B1136,'BANG LUONG 1'!$B$5:$AJ$56,27,0)</f>
        <v>0</v>
      </c>
      <c r="C1158" s="421">
        <v>25</v>
      </c>
      <c r="D1158" s="41"/>
    </row>
    <row r="1159" spans="1:5" ht="15" customHeight="1" x14ac:dyDescent="0.25">
      <c r="A1159" s="421" t="s">
        <v>544</v>
      </c>
      <c r="B1159" s="412">
        <f>VLOOKUP(B1136,'BANG LUONG 1'!$B$5:$AJ$56,28,0)</f>
        <v>0</v>
      </c>
      <c r="C1159" s="421">
        <v>26</v>
      </c>
      <c r="D1159" s="41"/>
    </row>
    <row r="1160" spans="1:5" ht="15" customHeight="1" x14ac:dyDescent="0.25">
      <c r="A1160" s="421" t="s">
        <v>712</v>
      </c>
      <c r="B1160" s="415">
        <f>VLOOKUP(B1136,'BANG LUONG 1'!$B$5:$AJ$56,32,0)</f>
        <v>0</v>
      </c>
      <c r="C1160" s="421"/>
      <c r="D1160" s="41"/>
    </row>
    <row r="1161" spans="1:5" ht="15" customHeight="1" x14ac:dyDescent="0.25">
      <c r="A1161" s="421" t="s">
        <v>713</v>
      </c>
      <c r="B1161" s="415">
        <f>VLOOKUP(B1136,'BANG LUONG 1'!$B$5:$AJ$56,33,0)</f>
        <v>0</v>
      </c>
      <c r="C1161" s="421"/>
      <c r="D1161" s="41"/>
    </row>
    <row r="1162" spans="1:5" ht="15" customHeight="1" x14ac:dyDescent="0.25">
      <c r="A1162" s="183" t="s">
        <v>707</v>
      </c>
      <c r="B1162" s="415">
        <f>VLOOKUP(B1136,'BANG LUONG 1'!$B$5:$AJ$56,30,0)</f>
        <v>0</v>
      </c>
      <c r="C1162" s="421"/>
      <c r="D1162" s="41"/>
      <c r="E1162" s="108" t="str">
        <f>B1137</f>
        <v>Bùi Trọng Nghĩa</v>
      </c>
    </row>
    <row r="1163" spans="1:5" ht="12.75" customHeight="1" x14ac:dyDescent="0.25">
      <c r="A1163" s="183" t="s">
        <v>546</v>
      </c>
      <c r="B1163" s="415">
        <f>VLOOKUP(B1136,'BANG LUONG 1'!$B$5:$AJ$56,35,0)</f>
        <v>0</v>
      </c>
      <c r="C1163" s="421"/>
      <c r="D1163" s="41"/>
    </row>
    <row r="1164" spans="1:5" x14ac:dyDescent="0.25">
      <c r="A1164" s="184" t="s">
        <v>549</v>
      </c>
      <c r="B1164" s="424">
        <f>'BANG LUONG 1'!$P$3</f>
        <v>43733</v>
      </c>
    </row>
    <row r="1165" spans="1:5" x14ac:dyDescent="0.25">
      <c r="A1165" s="183" t="s">
        <v>1</v>
      </c>
      <c r="B1165" s="185" t="s">
        <v>165</v>
      </c>
      <c r="C1165" s="421">
        <v>1</v>
      </c>
      <c r="D1165" s="41"/>
    </row>
    <row r="1166" spans="1:5" x14ac:dyDescent="0.25">
      <c r="A1166" s="183" t="s">
        <v>2</v>
      </c>
      <c r="B1166" s="185" t="e">
        <f>VLOOKUP($B1165,'BANG LUONG 1'!$B$6:$AB$51,C1166,0)</f>
        <v>#N/A</v>
      </c>
      <c r="C1166" s="421">
        <v>2</v>
      </c>
      <c r="D1166" s="41"/>
    </row>
    <row r="1167" spans="1:5" x14ac:dyDescent="0.25">
      <c r="A1167" s="421" t="s">
        <v>3</v>
      </c>
      <c r="B1167" s="41" t="e">
        <f>VLOOKUP($B1165,'BANG LUONG 1'!$B$6:$AJ$51,C1167,0)</f>
        <v>#N/A</v>
      </c>
      <c r="C1167" s="421">
        <v>3</v>
      </c>
      <c r="D1167" s="41"/>
    </row>
    <row r="1168" spans="1:5" x14ac:dyDescent="0.25">
      <c r="A1168" s="421" t="s">
        <v>376</v>
      </c>
      <c r="B1168" s="410">
        <f>VLOOKUP($B1165,'BANG LUONG 1'!$B$5:$AJ$56,4,0)</f>
        <v>43626</v>
      </c>
      <c r="C1168" s="421">
        <v>4</v>
      </c>
      <c r="D1168" s="41"/>
    </row>
    <row r="1169" spans="1:5" x14ac:dyDescent="0.25">
      <c r="A1169" s="421" t="s">
        <v>698</v>
      </c>
      <c r="B1169" s="411">
        <f>VLOOKUP(B1165,'BANG LUONG 1'!$B$5:$AJ$56,6,0)</f>
        <v>0</v>
      </c>
      <c r="C1169" s="421">
        <v>5</v>
      </c>
      <c r="D1169" s="41"/>
    </row>
    <row r="1170" spans="1:5" x14ac:dyDescent="0.25">
      <c r="A1170" s="421" t="s">
        <v>229</v>
      </c>
      <c r="B1170" s="412">
        <f>'thang luong moi'!$F$5</f>
        <v>4012500</v>
      </c>
      <c r="C1170" s="421">
        <v>6</v>
      </c>
      <c r="D1170" s="41"/>
    </row>
    <row r="1171" spans="1:5" x14ac:dyDescent="0.25">
      <c r="A1171" s="421" t="s">
        <v>217</v>
      </c>
      <c r="B1171" s="412" t="str">
        <f>VLOOKUP(B1165,'BANG LUONG 1'!$B$5:$AJ$56,8,0)</f>
        <v>B.05</v>
      </c>
      <c r="C1171" s="421">
        <v>7</v>
      </c>
      <c r="D1171" s="41"/>
    </row>
    <row r="1172" spans="1:5" x14ac:dyDescent="0.25">
      <c r="A1172" s="421" t="s">
        <v>230</v>
      </c>
      <c r="B1172" s="412">
        <f>VLOOKUP(B1165,'BANG LUONG 1'!$B$5:$AJ$56,9,0)</f>
        <v>1</v>
      </c>
      <c r="C1172" s="421">
        <v>8</v>
      </c>
      <c r="D1172" s="41"/>
    </row>
    <row r="1173" spans="1:5" x14ac:dyDescent="0.25">
      <c r="A1173" s="421" t="s">
        <v>538</v>
      </c>
      <c r="B1173" s="412">
        <f>VLOOKUP(B1165,'BANG LUONG 1'!$B$5:$AJ$56,11,0)</f>
        <v>4213125</v>
      </c>
      <c r="C1173" s="421">
        <v>9</v>
      </c>
      <c r="D1173" s="41"/>
    </row>
    <row r="1174" spans="1:5" x14ac:dyDescent="0.25">
      <c r="A1174" s="421" t="s">
        <v>354</v>
      </c>
      <c r="B1174" s="412">
        <f>VLOOKUP(B1165,'BANG LUONG 1'!$B$5:$AJ$56,12,0)</f>
        <v>26</v>
      </c>
      <c r="C1174" s="421">
        <v>10</v>
      </c>
      <c r="D1174" s="41"/>
    </row>
    <row r="1175" spans="1:5" x14ac:dyDescent="0.25">
      <c r="A1175" s="421" t="s">
        <v>534</v>
      </c>
      <c r="B1175" s="412">
        <f>VLOOKUP(B1165,'BANG LUONG 1'!$B$5:$AJ$56,13,0)</f>
        <v>4213125</v>
      </c>
      <c r="C1175" s="421">
        <v>11</v>
      </c>
      <c r="D1175" s="41"/>
    </row>
    <row r="1176" spans="1:5" x14ac:dyDescent="0.25">
      <c r="A1176" s="421" t="s">
        <v>592</v>
      </c>
      <c r="B1176" s="412">
        <f>VLOOKUP(B1165,'BANG LUONG 1'!$B$5:$AJ$56,14,0)</f>
        <v>0</v>
      </c>
      <c r="C1176" s="421">
        <v>12</v>
      </c>
      <c r="D1176" s="41">
        <f>B1173/26*B1176</f>
        <v>0</v>
      </c>
    </row>
    <row r="1177" spans="1:5" x14ac:dyDescent="0.25">
      <c r="A1177" s="421" t="s">
        <v>357</v>
      </c>
      <c r="B1177" s="412">
        <f>VLOOKUP(B1165,'BANG LUONG 1'!$B$5:$AJ$56,15,0)</f>
        <v>0</v>
      </c>
      <c r="C1177" s="421">
        <v>13</v>
      </c>
      <c r="D1177" s="41">
        <f>B1173/26/8*1.5*B1177</f>
        <v>0</v>
      </c>
    </row>
    <row r="1178" spans="1:5" x14ac:dyDescent="0.25">
      <c r="A1178" s="421" t="s">
        <v>387</v>
      </c>
      <c r="B1178" s="412">
        <f>VLOOKUP(B1165,'BANG LUONG 1'!$B$5:$AJ$56,16,0)</f>
        <v>24</v>
      </c>
      <c r="C1178" s="421">
        <v>14</v>
      </c>
      <c r="D1178" s="41">
        <f>B1173/26/8*2*B1178</f>
        <v>972259.61538461526</v>
      </c>
    </row>
    <row r="1179" spans="1:5" x14ac:dyDescent="0.25">
      <c r="A1179" s="421" t="s">
        <v>593</v>
      </c>
      <c r="B1179" s="412">
        <f>VLOOKUP(B1165,'BANG LUONG 1'!$B$5:$AJ$56,17,0)</f>
        <v>0</v>
      </c>
      <c r="C1179" s="421"/>
      <c r="D1179" s="41">
        <f>(B1173/26)*B1179</f>
        <v>0</v>
      </c>
    </row>
    <row r="1180" spans="1:5" x14ac:dyDescent="0.25">
      <c r="A1180" s="421" t="s">
        <v>388</v>
      </c>
      <c r="B1180" s="412">
        <f>VLOOKUP(B1165,'BANG LUONG 1'!$B$5:$AJ$56,18,0)</f>
        <v>1</v>
      </c>
      <c r="C1180" s="421">
        <v>15</v>
      </c>
      <c r="D1180" s="41">
        <f>(B1173/26*B1180)*3</f>
        <v>486129.80769230763</v>
      </c>
    </row>
    <row r="1181" spans="1:5" x14ac:dyDescent="0.25">
      <c r="A1181" s="421" t="s">
        <v>533</v>
      </c>
      <c r="B1181" s="412">
        <f>VLOOKUP(B1165,'BANG LUONG 1'!$B$5:$AJ$56,19,0)</f>
        <v>5671514.423076923</v>
      </c>
      <c r="C1181" s="183">
        <v>16</v>
      </c>
      <c r="D1181" s="185">
        <f>B1175+D1177+D1178+D1176+D1180+D1179</f>
        <v>5671514.423076923</v>
      </c>
      <c r="E1181" s="108"/>
    </row>
    <row r="1182" spans="1:5" x14ac:dyDescent="0.25">
      <c r="A1182" s="421" t="s">
        <v>535</v>
      </c>
      <c r="B1182" s="412">
        <f>VLOOKUP(B1165,'BANG LUONG 1'!$B$5:$AJ$56,20,0)</f>
        <v>1209951.9230769239</v>
      </c>
      <c r="C1182" s="421">
        <v>17</v>
      </c>
      <c r="D1182" s="41"/>
    </row>
    <row r="1183" spans="1:5" x14ac:dyDescent="0.25">
      <c r="A1183" s="421" t="s">
        <v>370</v>
      </c>
      <c r="B1183" s="412">
        <f>VLOOKUP(B1165,'BANG LUONG 1'!$B$5:$AJ$56,22,0)</f>
        <v>0</v>
      </c>
      <c r="C1183" s="421">
        <v>18</v>
      </c>
      <c r="D1183" s="41"/>
    </row>
    <row r="1184" spans="1:5" x14ac:dyDescent="0.25">
      <c r="A1184" s="421" t="s">
        <v>371</v>
      </c>
      <c r="B1184" s="412">
        <f>VLOOKUP(B1165,'BANG LUONG 1'!$B$5:$AJ$56,23,0)</f>
        <v>300000</v>
      </c>
      <c r="C1184" s="421">
        <v>19</v>
      </c>
      <c r="D1184" s="41"/>
    </row>
    <row r="1185" spans="1:5" x14ac:dyDescent="0.25">
      <c r="A1185" s="421" t="s">
        <v>560</v>
      </c>
      <c r="B1185" s="412">
        <f>VLOOKUP(B1165,'BANG LUONG 1'!$B$5:$AJ$56,24,0)</f>
        <v>0</v>
      </c>
      <c r="C1185" s="421">
        <v>22</v>
      </c>
      <c r="D1185" s="41"/>
    </row>
    <row r="1186" spans="1:5" x14ac:dyDescent="0.25">
      <c r="A1186" s="183" t="s">
        <v>237</v>
      </c>
      <c r="B1186" s="415">
        <f>VLOOKUP(B1165,'BANG LUONG 1'!$B$5:$AJ$56,26,0)</f>
        <v>7181466.3461538469</v>
      </c>
      <c r="C1186" s="421">
        <v>24</v>
      </c>
      <c r="D1186" s="41"/>
    </row>
    <row r="1187" spans="1:5" x14ac:dyDescent="0.25">
      <c r="A1187" s="421" t="s">
        <v>545</v>
      </c>
      <c r="B1187" s="412">
        <f>VLOOKUP(B1165,'BANG LUONG 1'!$B$5:$AJ$56,27,0)</f>
        <v>0</v>
      </c>
      <c r="C1187" s="421">
        <v>25</v>
      </c>
      <c r="D1187" s="41"/>
    </row>
    <row r="1188" spans="1:5" x14ac:dyDescent="0.25">
      <c r="A1188" s="421" t="s">
        <v>544</v>
      </c>
      <c r="B1188" s="412">
        <f>VLOOKUP(B1165,'BANG LUONG 1'!$B$5:$AJ$56,28,0)</f>
        <v>0</v>
      </c>
      <c r="C1188" s="421">
        <v>26</v>
      </c>
      <c r="D1188" s="41"/>
    </row>
    <row r="1189" spans="1:5" x14ac:dyDescent="0.25">
      <c r="A1189" s="421" t="s">
        <v>712</v>
      </c>
      <c r="B1189" s="415">
        <f>VLOOKUP(B1165,'BANG LUONG 1'!$B$5:$AJ$56,32,0)</f>
        <v>0</v>
      </c>
      <c r="C1189" s="421"/>
      <c r="D1189" s="41"/>
    </row>
    <row r="1190" spans="1:5" x14ac:dyDescent="0.25">
      <c r="A1190" s="421" t="s">
        <v>713</v>
      </c>
      <c r="B1190" s="415">
        <f>VLOOKUP(B1165,'BANG LUONG 1'!$B$5:$AJ$56,33,0)</f>
        <v>0</v>
      </c>
      <c r="C1190" s="421"/>
      <c r="D1190" s="41"/>
    </row>
    <row r="1191" spans="1:5" x14ac:dyDescent="0.25">
      <c r="A1191" s="183" t="s">
        <v>707</v>
      </c>
      <c r="B1191" s="415">
        <f>VLOOKUP(B1165,'BANG LUONG 1'!$B$5:$AJ$56,30,0)</f>
        <v>100000</v>
      </c>
      <c r="C1191" s="421"/>
      <c r="D1191" s="41"/>
      <c r="E1191" s="108" t="e">
        <f>B1166</f>
        <v>#N/A</v>
      </c>
    </row>
    <row r="1192" spans="1:5" x14ac:dyDescent="0.25">
      <c r="A1192" s="183" t="s">
        <v>546</v>
      </c>
      <c r="B1192" s="415">
        <f>VLOOKUP(B1165,'BANG LUONG 1'!$B$5:$AJ$56,35,0)</f>
        <v>7281000</v>
      </c>
      <c r="C1192" s="421"/>
      <c r="D1192" s="41"/>
    </row>
    <row r="1193" spans="1:5" x14ac:dyDescent="0.25">
      <c r="A1193" s="183"/>
      <c r="B1193" s="412"/>
      <c r="C1193" s="421">
        <v>27</v>
      </c>
      <c r="D1193" s="185"/>
    </row>
    <row r="1194" spans="1:5" x14ac:dyDescent="0.25">
      <c r="A1194" s="184" t="s">
        <v>549</v>
      </c>
      <c r="B1194" s="424">
        <f>'BANG LUONG 1'!$P$3</f>
        <v>43733</v>
      </c>
    </row>
    <row r="1195" spans="1:5" x14ac:dyDescent="0.25">
      <c r="A1195" s="183" t="s">
        <v>1</v>
      </c>
      <c r="B1195" s="185" t="s">
        <v>118</v>
      </c>
      <c r="C1195" s="421">
        <v>1</v>
      </c>
      <c r="D1195" s="41"/>
    </row>
    <row r="1196" spans="1:5" x14ac:dyDescent="0.25">
      <c r="A1196" s="183" t="s">
        <v>2</v>
      </c>
      <c r="B1196" s="185" t="str">
        <f>VLOOKUP($B1195,'BANG LUONG 1'!$B$6:$AB$51,C1196,0)</f>
        <v>Nguyễn Trọng Minh</v>
      </c>
      <c r="C1196" s="421">
        <v>2</v>
      </c>
      <c r="D1196" s="41"/>
    </row>
    <row r="1197" spans="1:5" x14ac:dyDescent="0.25">
      <c r="A1197" s="421" t="s">
        <v>3</v>
      </c>
      <c r="B1197" s="41" t="str">
        <f>VLOOKUP($B1195,'BANG LUONG 1'!$B$6:$AJ$51,C1197,0)</f>
        <v>Đội trưởng XLB</v>
      </c>
      <c r="C1197" s="421">
        <v>3</v>
      </c>
      <c r="D1197" s="41"/>
    </row>
    <row r="1198" spans="1:5" x14ac:dyDescent="0.25">
      <c r="A1198" s="421" t="s">
        <v>376</v>
      </c>
      <c r="B1198" s="410">
        <f>VLOOKUP($B1195,'BANG LUONG 1'!$B$5:$AJ$56,4,0)</f>
        <v>38838</v>
      </c>
      <c r="C1198" s="421">
        <v>4</v>
      </c>
      <c r="D1198" s="41"/>
    </row>
    <row r="1199" spans="1:5" x14ac:dyDescent="0.25">
      <c r="A1199" s="421" t="s">
        <v>698</v>
      </c>
      <c r="B1199" s="411">
        <f>VLOOKUP(B1195,'BANG LUONG 1'!$B$5:$AJ$56,6,0)</f>
        <v>0.12999999999999998</v>
      </c>
      <c r="C1199" s="421">
        <v>5</v>
      </c>
      <c r="D1199" s="41"/>
    </row>
    <row r="1200" spans="1:5" x14ac:dyDescent="0.25">
      <c r="A1200" s="421" t="s">
        <v>229</v>
      </c>
      <c r="B1200" s="412">
        <f>'thang luong moi'!$F$5</f>
        <v>4012500</v>
      </c>
      <c r="C1200" s="421">
        <v>6</v>
      </c>
      <c r="D1200" s="41"/>
    </row>
    <row r="1201" spans="1:5" x14ac:dyDescent="0.25">
      <c r="A1201" s="421" t="s">
        <v>217</v>
      </c>
      <c r="B1201" s="412" t="str">
        <f>VLOOKUP(B1195,'BANG LUONG 1'!$B$5:$AJ$56,8,0)</f>
        <v>B.01</v>
      </c>
      <c r="C1201" s="421">
        <v>7</v>
      </c>
      <c r="D1201" s="41"/>
    </row>
    <row r="1202" spans="1:5" x14ac:dyDescent="0.25">
      <c r="A1202" s="421" t="s">
        <v>230</v>
      </c>
      <c r="B1202" s="412">
        <f>VLOOKUP(B1195,'BANG LUONG 1'!$B$5:$AJ$56,9,0)</f>
        <v>2</v>
      </c>
      <c r="C1202" s="421">
        <v>8</v>
      </c>
      <c r="D1202" s="41"/>
    </row>
    <row r="1203" spans="1:5" x14ac:dyDescent="0.25">
      <c r="A1203" s="421" t="s">
        <v>538</v>
      </c>
      <c r="B1203" s="412">
        <f>VLOOKUP(B1195,'BANG LUONG 1'!$B$5:$AJ$56,11,0)</f>
        <v>4895250</v>
      </c>
      <c r="C1203" s="421">
        <v>9</v>
      </c>
      <c r="D1203" s="41"/>
    </row>
    <row r="1204" spans="1:5" x14ac:dyDescent="0.25">
      <c r="A1204" s="421" t="s">
        <v>354</v>
      </c>
      <c r="B1204" s="412">
        <f>VLOOKUP(B1195,'BANG LUONG 1'!$B$5:$AJ$56,12,0)</f>
        <v>26</v>
      </c>
      <c r="C1204" s="421">
        <v>10</v>
      </c>
      <c r="D1204" s="41"/>
    </row>
    <row r="1205" spans="1:5" x14ac:dyDescent="0.25">
      <c r="A1205" s="421" t="s">
        <v>534</v>
      </c>
      <c r="B1205" s="412">
        <f>VLOOKUP(B1195,'BANG LUONG 1'!$B$5:$AJ$56,13,0)</f>
        <v>4895250</v>
      </c>
      <c r="C1205" s="421">
        <v>11</v>
      </c>
      <c r="D1205" s="41"/>
    </row>
    <row r="1206" spans="1:5" x14ac:dyDescent="0.25">
      <c r="A1206" s="421" t="s">
        <v>592</v>
      </c>
      <c r="B1206" s="412">
        <f>VLOOKUP(B1195,'BANG LUONG 1'!$B$5:$AJ$56,14,0)</f>
        <v>0</v>
      </c>
      <c r="C1206" s="421">
        <v>12</v>
      </c>
      <c r="D1206" s="41">
        <f>B1203/26*B1206</f>
        <v>0</v>
      </c>
    </row>
    <row r="1207" spans="1:5" x14ac:dyDescent="0.25">
      <c r="A1207" s="421" t="s">
        <v>357</v>
      </c>
      <c r="B1207" s="412">
        <f>VLOOKUP(B1195,'BANG LUONG 1'!$B$5:$AJ$56,15,0)</f>
        <v>24</v>
      </c>
      <c r="C1207" s="421">
        <v>13</v>
      </c>
      <c r="D1207" s="41">
        <f>B1203/26/8*1.5*B1207</f>
        <v>847254.80769230775</v>
      </c>
    </row>
    <row r="1208" spans="1:5" x14ac:dyDescent="0.25">
      <c r="A1208" s="421" t="s">
        <v>387</v>
      </c>
      <c r="B1208" s="412">
        <f>VLOOKUP(B1195,'BANG LUONG 1'!$B$5:$AJ$56,16,0)</f>
        <v>16</v>
      </c>
      <c r="C1208" s="421">
        <v>14</v>
      </c>
      <c r="D1208" s="41">
        <f>B1203/26/8*2*B1208</f>
        <v>753115.38461538462</v>
      </c>
    </row>
    <row r="1209" spans="1:5" x14ac:dyDescent="0.25">
      <c r="A1209" s="421" t="s">
        <v>593</v>
      </c>
      <c r="B1209" s="412">
        <f>VLOOKUP(B1195,'BANG LUONG 1'!$B$5:$AJ$56,17,0)</f>
        <v>1</v>
      </c>
      <c r="C1209" s="421"/>
      <c r="D1209" s="41">
        <f>(B1203/26)*B1209</f>
        <v>188278.84615384616</v>
      </c>
    </row>
    <row r="1210" spans="1:5" x14ac:dyDescent="0.25">
      <c r="A1210" s="421" t="s">
        <v>388</v>
      </c>
      <c r="B1210" s="412">
        <f>VLOOKUP(B1195,'BANG LUONG 1'!$B$5:$AJ$56,18,0)</f>
        <v>0</v>
      </c>
      <c r="C1210" s="421">
        <v>15</v>
      </c>
      <c r="D1210" s="41">
        <f>(B1203/26*B1210)*3</f>
        <v>0</v>
      </c>
    </row>
    <row r="1211" spans="1:5" x14ac:dyDescent="0.25">
      <c r="A1211" s="421" t="s">
        <v>533</v>
      </c>
      <c r="B1211" s="412">
        <f>VLOOKUP(B1195,'BANG LUONG 1'!$B$5:$AJ$56,19,0)</f>
        <v>12573995.192307692</v>
      </c>
      <c r="C1211" s="183">
        <v>16</v>
      </c>
      <c r="D1211" s="185">
        <f>B1205+D1207+D1208+D1206+D1210+D1209</f>
        <v>6683899.038461539</v>
      </c>
      <c r="E1211" s="108"/>
    </row>
    <row r="1212" spans="1:5" x14ac:dyDescent="0.25">
      <c r="A1212" s="421" t="s">
        <v>535</v>
      </c>
      <c r="B1212" s="412">
        <f>VLOOKUP(B1195,'BANG LUONG 1'!$B$5:$AJ$56,20,0)</f>
        <v>0</v>
      </c>
      <c r="C1212" s="421">
        <v>17</v>
      </c>
      <c r="D1212" s="41"/>
    </row>
    <row r="1213" spans="1:5" x14ac:dyDescent="0.25">
      <c r="A1213" s="421" t="s">
        <v>370</v>
      </c>
      <c r="B1213" s="412">
        <f>VLOOKUP(B1195,'BANG LUONG 1'!$B$5:$AJ$56,22,0)</f>
        <v>636382.49999999988</v>
      </c>
      <c r="C1213" s="421">
        <v>18</v>
      </c>
      <c r="D1213" s="41"/>
    </row>
    <row r="1214" spans="1:5" x14ac:dyDescent="0.25">
      <c r="A1214" s="421" t="s">
        <v>371</v>
      </c>
      <c r="B1214" s="412">
        <f>VLOOKUP(B1195,'BANG LUONG 1'!$B$5:$AJ$56,23,0)</f>
        <v>300000</v>
      </c>
      <c r="C1214" s="421">
        <v>19</v>
      </c>
      <c r="D1214" s="41"/>
    </row>
    <row r="1215" spans="1:5" x14ac:dyDescent="0.25">
      <c r="A1215" s="421" t="s">
        <v>560</v>
      </c>
      <c r="B1215" s="412">
        <f>VLOOKUP(B1195,'BANG LUONG 1'!$B$5:$AJ$56,24,0)</f>
        <v>5104750</v>
      </c>
      <c r="C1215" s="421">
        <v>22</v>
      </c>
      <c r="D1215" s="41"/>
    </row>
    <row r="1216" spans="1:5" x14ac:dyDescent="0.25">
      <c r="A1216" s="183" t="s">
        <v>237</v>
      </c>
      <c r="B1216" s="415">
        <f>VLOOKUP(B1195,'BANG LUONG 1'!$B$5:$AJ$56,26,0)</f>
        <v>13510377.692307692</v>
      </c>
      <c r="C1216" s="421">
        <v>24</v>
      </c>
      <c r="D1216" s="41"/>
    </row>
    <row r="1217" spans="1:5" x14ac:dyDescent="0.25">
      <c r="A1217" s="421" t="s">
        <v>545</v>
      </c>
      <c r="B1217" s="412">
        <f>VLOOKUP(B1195,'BANG LUONG 1'!$B$5:$AJ$56,27,0)</f>
        <v>4000000</v>
      </c>
      <c r="C1217" s="421">
        <v>25</v>
      </c>
      <c r="D1217" s="41"/>
    </row>
    <row r="1218" spans="1:5" x14ac:dyDescent="0.25">
      <c r="A1218" s="421" t="s">
        <v>544</v>
      </c>
      <c r="B1218" s="412">
        <f>VLOOKUP(B1195,'BANG LUONG 1'!$B$5:$AJ$56,28,0)</f>
        <v>535500</v>
      </c>
      <c r="C1218" s="421">
        <v>26</v>
      </c>
      <c r="D1218" s="41"/>
    </row>
    <row r="1219" spans="1:5" x14ac:dyDescent="0.25">
      <c r="A1219" s="421" t="s">
        <v>712</v>
      </c>
      <c r="B1219" s="415">
        <f>VLOOKUP(B1195,'BANG LUONG 1'!$B$5:$AJ$56,32,0)</f>
        <v>0</v>
      </c>
      <c r="C1219" s="421"/>
      <c r="D1219" s="41"/>
    </row>
    <row r="1220" spans="1:5" x14ac:dyDescent="0.25">
      <c r="A1220" s="421" t="s">
        <v>713</v>
      </c>
      <c r="B1220" s="415">
        <f>VLOOKUP(B1195,'BANG LUONG 1'!$B$5:$AJ$56,33,0)</f>
        <v>176000</v>
      </c>
      <c r="C1220" s="421"/>
      <c r="D1220" s="41"/>
    </row>
    <row r="1221" spans="1:5" x14ac:dyDescent="0.25">
      <c r="A1221" s="183" t="s">
        <v>707</v>
      </c>
      <c r="B1221" s="415">
        <f>VLOOKUP(B1195,'BANG LUONG 1'!$B$5:$AJ$56,30,0)</f>
        <v>200000</v>
      </c>
      <c r="C1221" s="421"/>
      <c r="D1221" s="41"/>
      <c r="E1221" s="108" t="str">
        <f>B1196</f>
        <v>Nguyễn Trọng Minh</v>
      </c>
    </row>
    <row r="1222" spans="1:5" x14ac:dyDescent="0.25">
      <c r="A1222" s="183" t="s">
        <v>546</v>
      </c>
      <c r="B1222" s="415">
        <f>VLOOKUP(B1195,'BANG LUONG 1'!$B$5:$AJ$56,35,0)</f>
        <v>9351000</v>
      </c>
      <c r="C1222" s="421"/>
      <c r="D1222" s="41"/>
    </row>
    <row r="1223" spans="1:5" x14ac:dyDescent="0.25">
      <c r="A1223" s="184" t="s">
        <v>549</v>
      </c>
      <c r="B1223" s="424">
        <f>'BANG LUONG 1'!$P$3</f>
        <v>43733</v>
      </c>
    </row>
    <row r="1224" spans="1:5" x14ac:dyDescent="0.25">
      <c r="A1224" s="183" t="s">
        <v>1</v>
      </c>
      <c r="B1224" s="185" t="s">
        <v>118</v>
      </c>
      <c r="C1224" s="421">
        <v>1</v>
      </c>
      <c r="D1224" s="41"/>
    </row>
    <row r="1225" spans="1:5" x14ac:dyDescent="0.25">
      <c r="A1225" s="183" t="s">
        <v>2</v>
      </c>
      <c r="B1225" s="185" t="str">
        <f>VLOOKUP($B1224,'BANG LUONG 1'!$B$6:$AB$51,C1225,0)</f>
        <v>Nguyễn Trọng Minh</v>
      </c>
      <c r="C1225" s="421">
        <v>2</v>
      </c>
      <c r="D1225" s="41"/>
    </row>
    <row r="1226" spans="1:5" x14ac:dyDescent="0.25">
      <c r="A1226" s="421" t="s">
        <v>3</v>
      </c>
      <c r="B1226" s="41" t="str">
        <f>VLOOKUP($B1224,'BANG LUONG 1'!$B$6:$AJ$51,C1226,0)</f>
        <v>Đội trưởng XLB</v>
      </c>
      <c r="C1226" s="421">
        <v>3</v>
      </c>
      <c r="D1226" s="41"/>
    </row>
    <row r="1227" spans="1:5" x14ac:dyDescent="0.25">
      <c r="A1227" s="421" t="s">
        <v>376</v>
      </c>
      <c r="B1227" s="410">
        <f>VLOOKUP($B1224,'BANG LUONG 1'!$B$5:$AJ$56,4,0)</f>
        <v>38838</v>
      </c>
      <c r="C1227" s="421">
        <v>4</v>
      </c>
      <c r="D1227" s="41"/>
    </row>
    <row r="1228" spans="1:5" x14ac:dyDescent="0.25">
      <c r="A1228" s="421" t="s">
        <v>698</v>
      </c>
      <c r="B1228" s="411">
        <f>VLOOKUP(B1224,'BANG LUONG 1'!$B$5:$AJ$56,6,0)</f>
        <v>0.12999999999999998</v>
      </c>
      <c r="C1228" s="421">
        <v>5</v>
      </c>
      <c r="D1228" s="41"/>
    </row>
    <row r="1229" spans="1:5" x14ac:dyDescent="0.25">
      <c r="A1229" s="421" t="s">
        <v>229</v>
      </c>
      <c r="B1229" s="412">
        <f>'thang luong moi'!$F$5</f>
        <v>4012500</v>
      </c>
      <c r="C1229" s="421">
        <v>6</v>
      </c>
      <c r="D1229" s="41"/>
    </row>
    <row r="1230" spans="1:5" x14ac:dyDescent="0.25">
      <c r="A1230" s="421" t="s">
        <v>217</v>
      </c>
      <c r="B1230" s="412" t="str">
        <f>VLOOKUP(B1224,'BANG LUONG 1'!$B$5:$AJ$56,8,0)</f>
        <v>B.01</v>
      </c>
      <c r="C1230" s="421">
        <v>7</v>
      </c>
      <c r="D1230" s="41"/>
    </row>
    <row r="1231" spans="1:5" x14ac:dyDescent="0.25">
      <c r="A1231" s="421" t="s">
        <v>230</v>
      </c>
      <c r="B1231" s="412">
        <f>VLOOKUP(B1224,'BANG LUONG 1'!$B$5:$AJ$56,9,0)</f>
        <v>2</v>
      </c>
      <c r="C1231" s="421">
        <v>8</v>
      </c>
      <c r="D1231" s="41"/>
    </row>
    <row r="1232" spans="1:5" x14ac:dyDescent="0.25">
      <c r="A1232" s="421" t="s">
        <v>538</v>
      </c>
      <c r="B1232" s="412">
        <f>VLOOKUP(B1224,'BANG LUONG 1'!$B$5:$AJ$56,11,0)</f>
        <v>4895250</v>
      </c>
      <c r="C1232" s="421">
        <v>9</v>
      </c>
      <c r="D1232" s="41"/>
    </row>
    <row r="1233" spans="1:5" x14ac:dyDescent="0.25">
      <c r="A1233" s="421" t="s">
        <v>354</v>
      </c>
      <c r="B1233" s="412">
        <f>VLOOKUP(B1224,'BANG LUONG 1'!$B$5:$AJ$56,12,0)</f>
        <v>26</v>
      </c>
      <c r="C1233" s="421">
        <v>10</v>
      </c>
      <c r="D1233" s="41"/>
    </row>
    <row r="1234" spans="1:5" x14ac:dyDescent="0.25">
      <c r="A1234" s="421" t="s">
        <v>534</v>
      </c>
      <c r="B1234" s="412">
        <f>VLOOKUP(B1224,'BANG LUONG 1'!$B$5:$AJ$56,13,0)</f>
        <v>4895250</v>
      </c>
      <c r="C1234" s="421">
        <v>11</v>
      </c>
      <c r="D1234" s="41"/>
    </row>
    <row r="1235" spans="1:5" x14ac:dyDescent="0.25">
      <c r="A1235" s="421" t="s">
        <v>592</v>
      </c>
      <c r="B1235" s="412">
        <f>VLOOKUP(B1224,'BANG LUONG 1'!$B$5:$AJ$56,14,0)</f>
        <v>0</v>
      </c>
      <c r="C1235" s="421">
        <v>12</v>
      </c>
      <c r="D1235" s="41">
        <f>B1232/26*B1235</f>
        <v>0</v>
      </c>
    </row>
    <row r="1236" spans="1:5" x14ac:dyDescent="0.25">
      <c r="A1236" s="421" t="s">
        <v>357</v>
      </c>
      <c r="B1236" s="412">
        <f>VLOOKUP(B1224,'BANG LUONG 1'!$B$5:$AJ$56,15,0)</f>
        <v>24</v>
      </c>
      <c r="C1236" s="421">
        <v>13</v>
      </c>
      <c r="D1236" s="41">
        <f>B1232/26/8*1.5*B1236</f>
        <v>847254.80769230775</v>
      </c>
    </row>
    <row r="1237" spans="1:5" x14ac:dyDescent="0.25">
      <c r="A1237" s="421" t="s">
        <v>387</v>
      </c>
      <c r="B1237" s="412">
        <f>VLOOKUP(B1224,'BANG LUONG 1'!$B$5:$AJ$56,16,0)</f>
        <v>16</v>
      </c>
      <c r="C1237" s="421">
        <v>14</v>
      </c>
      <c r="D1237" s="41">
        <f>B1232/26/8*2*B1237</f>
        <v>753115.38461538462</v>
      </c>
    </row>
    <row r="1238" spans="1:5" x14ac:dyDescent="0.25">
      <c r="A1238" s="421" t="s">
        <v>593</v>
      </c>
      <c r="B1238" s="412">
        <f>VLOOKUP(B1224,'BANG LUONG 1'!$B$5:$AJ$56,17,0)</f>
        <v>1</v>
      </c>
      <c r="C1238" s="421"/>
      <c r="D1238" s="41">
        <f>(B1232/26)*B1238</f>
        <v>188278.84615384616</v>
      </c>
    </row>
    <row r="1239" spans="1:5" x14ac:dyDescent="0.25">
      <c r="A1239" s="421" t="s">
        <v>388</v>
      </c>
      <c r="B1239" s="412">
        <f>VLOOKUP(B1224,'BANG LUONG 1'!$B$5:$AJ$56,18,0)</f>
        <v>0</v>
      </c>
      <c r="C1239" s="421">
        <v>15</v>
      </c>
      <c r="D1239" s="41">
        <f>(B1232/26*B1239)*3</f>
        <v>0</v>
      </c>
    </row>
    <row r="1240" spans="1:5" x14ac:dyDescent="0.25">
      <c r="A1240" s="421" t="s">
        <v>533</v>
      </c>
      <c r="B1240" s="412">
        <f>VLOOKUP(B1224,'BANG LUONG 1'!$B$5:$AJ$56,19,0)</f>
        <v>12573995.192307692</v>
      </c>
      <c r="C1240" s="183">
        <v>16</v>
      </c>
      <c r="D1240" s="185">
        <f>B1234+D1236+D1237+D1235+D1239+D1238</f>
        <v>6683899.038461539</v>
      </c>
      <c r="E1240" s="108"/>
    </row>
    <row r="1241" spans="1:5" x14ac:dyDescent="0.25">
      <c r="A1241" s="421" t="s">
        <v>535</v>
      </c>
      <c r="B1241" s="412">
        <f>VLOOKUP(B1224,'BANG LUONG 1'!$B$5:$AJ$56,20,0)</f>
        <v>0</v>
      </c>
      <c r="C1241" s="421">
        <v>17</v>
      </c>
      <c r="D1241" s="41"/>
    </row>
    <row r="1242" spans="1:5" x14ac:dyDescent="0.25">
      <c r="A1242" s="421" t="s">
        <v>370</v>
      </c>
      <c r="B1242" s="412">
        <f>VLOOKUP(B1224,'BANG LUONG 1'!$B$5:$AJ$56,22,0)</f>
        <v>636382.49999999988</v>
      </c>
      <c r="C1242" s="421">
        <v>18</v>
      </c>
      <c r="D1242" s="41"/>
    </row>
    <row r="1243" spans="1:5" x14ac:dyDescent="0.25">
      <c r="A1243" s="421" t="s">
        <v>371</v>
      </c>
      <c r="B1243" s="412">
        <f>VLOOKUP(B1224,'BANG LUONG 1'!$B$5:$AJ$56,23,0)</f>
        <v>300000</v>
      </c>
      <c r="C1243" s="421">
        <v>19</v>
      </c>
      <c r="D1243" s="41"/>
    </row>
    <row r="1244" spans="1:5" x14ac:dyDescent="0.25">
      <c r="A1244" s="421" t="s">
        <v>560</v>
      </c>
      <c r="B1244" s="412">
        <f>VLOOKUP(B1224,'BANG LUONG 1'!$B$5:$AJ$56,24,0)</f>
        <v>5104750</v>
      </c>
      <c r="C1244" s="421">
        <v>22</v>
      </c>
      <c r="D1244" s="41"/>
    </row>
    <row r="1245" spans="1:5" x14ac:dyDescent="0.25">
      <c r="A1245" s="183" t="s">
        <v>237</v>
      </c>
      <c r="B1245" s="415">
        <f>VLOOKUP(B1224,'BANG LUONG 1'!$B$5:$AJ$56,26,0)</f>
        <v>13510377.692307692</v>
      </c>
      <c r="C1245" s="421">
        <v>24</v>
      </c>
      <c r="D1245" s="41"/>
    </row>
    <row r="1246" spans="1:5" x14ac:dyDescent="0.25">
      <c r="A1246" s="421" t="s">
        <v>545</v>
      </c>
      <c r="B1246" s="412">
        <f>VLOOKUP(B1224,'BANG LUONG 1'!$B$5:$AJ$56,27,0)</f>
        <v>4000000</v>
      </c>
      <c r="C1246" s="421">
        <v>25</v>
      </c>
      <c r="D1246" s="41"/>
    </row>
    <row r="1247" spans="1:5" x14ac:dyDescent="0.25">
      <c r="A1247" s="421" t="s">
        <v>544</v>
      </c>
      <c r="B1247" s="412">
        <f>VLOOKUP(B1224,'BANG LUONG 1'!$B$5:$AJ$56,28,0)</f>
        <v>535500</v>
      </c>
      <c r="C1247" s="421">
        <v>26</v>
      </c>
      <c r="D1247" s="41"/>
    </row>
    <row r="1248" spans="1:5" x14ac:dyDescent="0.25">
      <c r="A1248" s="421" t="s">
        <v>712</v>
      </c>
      <c r="B1248" s="415">
        <f>VLOOKUP(B1224,'BANG LUONG 1'!$B$5:$AJ$56,32,0)</f>
        <v>0</v>
      </c>
      <c r="C1248" s="421"/>
      <c r="D1248" s="41"/>
    </row>
    <row r="1249" spans="1:5" x14ac:dyDescent="0.25">
      <c r="A1249" s="421" t="s">
        <v>713</v>
      </c>
      <c r="B1249" s="415">
        <f>VLOOKUP(B1224,'BANG LUONG 1'!$B$5:$AJ$56,33,0)</f>
        <v>176000</v>
      </c>
      <c r="C1249" s="421"/>
      <c r="D1249" s="41"/>
    </row>
    <row r="1250" spans="1:5" x14ac:dyDescent="0.25">
      <c r="A1250" s="183" t="s">
        <v>707</v>
      </c>
      <c r="B1250" s="415">
        <f>VLOOKUP(B1224,'BANG LUONG 1'!$B$5:$AJ$56,30,0)</f>
        <v>200000</v>
      </c>
      <c r="C1250" s="421"/>
      <c r="D1250" s="41"/>
      <c r="E1250" s="108" t="str">
        <f>B1225</f>
        <v>Nguyễn Trọng Minh</v>
      </c>
    </row>
    <row r="1251" spans="1:5" x14ac:dyDescent="0.25">
      <c r="A1251" s="183" t="s">
        <v>546</v>
      </c>
      <c r="B1251" s="415">
        <f>VLOOKUP(B1224,'BANG LUONG 1'!$B$5:$AJ$56,35,0)</f>
        <v>9351000</v>
      </c>
      <c r="C1251" s="421"/>
      <c r="D1251" s="41"/>
    </row>
    <row r="1252" spans="1:5" x14ac:dyDescent="0.25">
      <c r="A1252" s="183"/>
      <c r="B1252" s="412"/>
      <c r="C1252" s="421">
        <v>27</v>
      </c>
      <c r="D1252" s="185"/>
    </row>
    <row r="1253" spans="1:5" x14ac:dyDescent="0.25">
      <c r="A1253" s="184" t="s">
        <v>549</v>
      </c>
      <c r="B1253" s="424">
        <f>'BANG LUONG 1'!$P$3</f>
        <v>43733</v>
      </c>
    </row>
    <row r="1254" spans="1:5" x14ac:dyDescent="0.25">
      <c r="A1254" s="183" t="s">
        <v>1</v>
      </c>
      <c r="B1254" s="185" t="s">
        <v>140</v>
      </c>
      <c r="C1254" s="421">
        <v>1</v>
      </c>
      <c r="D1254" s="41"/>
    </row>
    <row r="1255" spans="1:5" x14ac:dyDescent="0.25">
      <c r="A1255" s="183" t="s">
        <v>2</v>
      </c>
      <c r="B1255" s="185" t="str">
        <f>VLOOKUP($B1254,'BANG LUONG 1'!$B$6:$AB$48,C1255,0)</f>
        <v>Quách Văn Chánh</v>
      </c>
      <c r="C1255" s="421">
        <v>2</v>
      </c>
      <c r="D1255" s="41"/>
    </row>
    <row r="1256" spans="1:5" x14ac:dyDescent="0.25">
      <c r="A1256" s="421" t="s">
        <v>3</v>
      </c>
      <c r="B1256" s="41" t="str">
        <f>VLOOKUP($B1254,'BANG LUONG 1'!$B$6:$AJ$48,C1256,0)</f>
        <v xml:space="preserve">Công nhân </v>
      </c>
      <c r="C1256" s="421">
        <v>3</v>
      </c>
      <c r="D1256" s="41"/>
    </row>
    <row r="1257" spans="1:5" x14ac:dyDescent="0.25">
      <c r="A1257" s="421" t="s">
        <v>376</v>
      </c>
      <c r="B1257" s="410">
        <f>VLOOKUP($B1254,'BANG LUONG 1'!$B$5:$AJ$56,4,0)</f>
        <v>42078</v>
      </c>
      <c r="C1257" s="421">
        <v>4</v>
      </c>
      <c r="D1257" s="41"/>
    </row>
    <row r="1258" spans="1:5" x14ac:dyDescent="0.25">
      <c r="A1258" s="421" t="s">
        <v>698</v>
      </c>
      <c r="B1258" s="411">
        <f>VLOOKUP(B1254,'BANG LUONG 1'!$B$5:$AJ$56,6,0)</f>
        <v>0.04</v>
      </c>
      <c r="C1258" s="421">
        <v>5</v>
      </c>
      <c r="D1258" s="41"/>
    </row>
    <row r="1259" spans="1:5" x14ac:dyDescent="0.25">
      <c r="A1259" s="421" t="s">
        <v>229</v>
      </c>
      <c r="B1259" s="412">
        <f>'thang luong moi'!$F$5</f>
        <v>4012500</v>
      </c>
      <c r="C1259" s="421">
        <v>6</v>
      </c>
      <c r="D1259" s="41"/>
    </row>
    <row r="1260" spans="1:5" x14ac:dyDescent="0.25">
      <c r="A1260" s="421" t="s">
        <v>217</v>
      </c>
      <c r="B1260" s="412" t="str">
        <f>VLOOKUP(B1254,'BANG LUONG 1'!$B$5:$AJ$56,8,0)</f>
        <v>B.02</v>
      </c>
      <c r="C1260" s="421">
        <v>7</v>
      </c>
      <c r="D1260" s="41"/>
    </row>
    <row r="1261" spans="1:5" x14ac:dyDescent="0.25">
      <c r="A1261" s="421" t="s">
        <v>230</v>
      </c>
      <c r="B1261" s="412">
        <f>VLOOKUP(B1254,'BANG LUONG 1'!$B$5:$AJ$56,9,0)</f>
        <v>1</v>
      </c>
      <c r="C1261" s="421">
        <v>8</v>
      </c>
      <c r="D1261" s="41"/>
    </row>
    <row r="1262" spans="1:5" x14ac:dyDescent="0.25">
      <c r="A1262" s="421" t="s">
        <v>538</v>
      </c>
      <c r="B1262" s="412">
        <f>VLOOKUP(B1254,'BANG LUONG 1'!$B$5:$AJ$56,11,0)</f>
        <v>4413750</v>
      </c>
      <c r="C1262" s="421">
        <v>9</v>
      </c>
      <c r="D1262" s="41"/>
    </row>
    <row r="1263" spans="1:5" x14ac:dyDescent="0.25">
      <c r="A1263" s="421" t="s">
        <v>354</v>
      </c>
      <c r="B1263" s="412">
        <f>VLOOKUP(B1254,'BANG LUONG 1'!$B$5:$AJ$56,12,0)</f>
        <v>26</v>
      </c>
      <c r="C1263" s="421">
        <v>10</v>
      </c>
      <c r="D1263" s="41"/>
    </row>
    <row r="1264" spans="1:5" x14ac:dyDescent="0.25">
      <c r="A1264" s="421" t="s">
        <v>534</v>
      </c>
      <c r="B1264" s="412">
        <f>VLOOKUP(B1254,'BANG LUONG 1'!$B$5:$AJ$56,13,0)</f>
        <v>4413750</v>
      </c>
      <c r="C1264" s="421">
        <v>11</v>
      </c>
      <c r="D1264" s="41"/>
    </row>
    <row r="1265" spans="1:5" x14ac:dyDescent="0.25">
      <c r="A1265" s="421" t="s">
        <v>592</v>
      </c>
      <c r="B1265" s="412">
        <f>VLOOKUP(B1254,'BANG LUONG 1'!$B$5:$AJ$56,14,0)</f>
        <v>0</v>
      </c>
      <c r="C1265" s="421">
        <v>12</v>
      </c>
      <c r="D1265" s="41">
        <f>B1262/26*B1265</f>
        <v>0</v>
      </c>
    </row>
    <row r="1266" spans="1:5" x14ac:dyDescent="0.25">
      <c r="A1266" s="421" t="s">
        <v>357</v>
      </c>
      <c r="B1266" s="412">
        <f>VLOOKUP(B1254,'BANG LUONG 1'!$B$5:$AJ$56,15,0)</f>
        <v>69.5</v>
      </c>
      <c r="C1266" s="421">
        <v>13</v>
      </c>
      <c r="D1266" s="41">
        <f>B1262/26/8*1.5*B1266</f>
        <v>2212179.987980769</v>
      </c>
    </row>
    <row r="1267" spans="1:5" x14ac:dyDescent="0.25">
      <c r="A1267" s="421" t="s">
        <v>387</v>
      </c>
      <c r="B1267" s="412">
        <f>VLOOKUP(B1254,'BANG LUONG 1'!$B$5:$AJ$56,16,0)</f>
        <v>32</v>
      </c>
      <c r="C1267" s="421">
        <v>14</v>
      </c>
      <c r="D1267" s="41">
        <f>B1262/26/8*2*B1267</f>
        <v>1358076.923076923</v>
      </c>
    </row>
    <row r="1268" spans="1:5" x14ac:dyDescent="0.25">
      <c r="A1268" s="421" t="s">
        <v>593</v>
      </c>
      <c r="B1268" s="412">
        <f>VLOOKUP(B1254,'BANG LUONG 1'!$B$5:$AJ$56,17,0)</f>
        <v>1</v>
      </c>
      <c r="C1268" s="421"/>
      <c r="D1268" s="41">
        <f>(B1262/26)*B1268</f>
        <v>169759.61538461538</v>
      </c>
    </row>
    <row r="1269" spans="1:5" x14ac:dyDescent="0.25">
      <c r="A1269" s="421" t="s">
        <v>388</v>
      </c>
      <c r="B1269" s="412">
        <f>VLOOKUP(B1254,'BANG LUONG 1'!$B$5:$AJ$56,18,0)</f>
        <v>0</v>
      </c>
      <c r="C1269" s="421">
        <v>15</v>
      </c>
      <c r="D1269" s="41">
        <f>(B1262/26*B1269)*3</f>
        <v>0</v>
      </c>
    </row>
    <row r="1270" spans="1:5" x14ac:dyDescent="0.25">
      <c r="A1270" s="421" t="s">
        <v>533</v>
      </c>
      <c r="B1270" s="412">
        <f>VLOOKUP(B1254,'BANG LUONG 1'!$B$5:$AJ$56,19,0)</f>
        <v>8153766.526442307</v>
      </c>
      <c r="C1270" s="183">
        <v>16</v>
      </c>
      <c r="D1270" s="185">
        <f>B1264+D1266+D1267+D1265+D1269+D1268</f>
        <v>8153766.526442307</v>
      </c>
      <c r="E1270" s="108"/>
    </row>
    <row r="1271" spans="1:5" x14ac:dyDescent="0.25">
      <c r="A1271" s="421" t="s">
        <v>535</v>
      </c>
      <c r="B1271" s="412">
        <f>VLOOKUP(B1254,'BANG LUONG 1'!$B$5:$AJ$56,20,0)</f>
        <v>6864655.0235478822</v>
      </c>
      <c r="C1271" s="421">
        <v>17</v>
      </c>
      <c r="D1271" s="41"/>
    </row>
    <row r="1272" spans="1:5" x14ac:dyDescent="0.25">
      <c r="A1272" s="421" t="s">
        <v>370</v>
      </c>
      <c r="B1272" s="412">
        <f>VLOOKUP(B1254,'BANG LUONG 1'!$B$5:$AJ$56,22,0)</f>
        <v>176550</v>
      </c>
      <c r="C1272" s="421">
        <v>18</v>
      </c>
      <c r="D1272" s="41"/>
    </row>
    <row r="1273" spans="1:5" x14ac:dyDescent="0.25">
      <c r="A1273" s="421" t="s">
        <v>371</v>
      </c>
      <c r="B1273" s="412">
        <f>VLOOKUP(B1254,'BANG LUONG 1'!$B$5:$AJ$56,23,0)</f>
        <v>300000</v>
      </c>
      <c r="C1273" s="421">
        <v>19</v>
      </c>
      <c r="D1273" s="41"/>
    </row>
    <row r="1274" spans="1:5" x14ac:dyDescent="0.25">
      <c r="A1274" s="421" t="s">
        <v>560</v>
      </c>
      <c r="B1274" s="412">
        <f>VLOOKUP(B1254,'BANG LUONG 1'!$B$5:$AJ$56,24,0)</f>
        <v>0</v>
      </c>
      <c r="C1274" s="421">
        <v>22</v>
      </c>
      <c r="D1274" s="41"/>
    </row>
    <row r="1275" spans="1:5" x14ac:dyDescent="0.25">
      <c r="A1275" s="183" t="s">
        <v>237</v>
      </c>
      <c r="B1275" s="415">
        <f>VLOOKUP(B1254,'BANG LUONG 1'!$B$5:$AJ$56,26,0)</f>
        <v>15494971.549990188</v>
      </c>
      <c r="C1275" s="421">
        <v>24</v>
      </c>
      <c r="D1275" s="41"/>
    </row>
    <row r="1276" spans="1:5" x14ac:dyDescent="0.25">
      <c r="A1276" s="421" t="s">
        <v>545</v>
      </c>
      <c r="B1276" s="412">
        <f>VLOOKUP(B1254,'BANG LUONG 1'!$B$5:$AJ$56,27,0)</f>
        <v>3000000</v>
      </c>
      <c r="C1276" s="421">
        <v>25</v>
      </c>
      <c r="D1276" s="41"/>
    </row>
    <row r="1277" spans="1:5" x14ac:dyDescent="0.25">
      <c r="A1277" s="421" t="s">
        <v>544</v>
      </c>
      <c r="B1277" s="412">
        <f>VLOOKUP(B1254,'BANG LUONG 1'!$B$5:$AJ$56,28,0)</f>
        <v>480585</v>
      </c>
      <c r="C1277" s="421">
        <v>26</v>
      </c>
      <c r="D1277" s="41"/>
    </row>
    <row r="1278" spans="1:5" x14ac:dyDescent="0.25">
      <c r="A1278" s="421" t="s">
        <v>712</v>
      </c>
      <c r="B1278" s="415">
        <f>VLOOKUP(B1254,'BANG LUONG 1'!$B$5:$AJ$56,32,0)</f>
        <v>0</v>
      </c>
      <c r="C1278" s="421"/>
      <c r="D1278" s="41"/>
    </row>
    <row r="1279" spans="1:5" x14ac:dyDescent="0.25">
      <c r="A1279" s="421" t="s">
        <v>713</v>
      </c>
      <c r="B1279" s="415">
        <f>VLOOKUP(B1254,'BANG LUONG 1'!$B$5:$AJ$56,33,0)</f>
        <v>308000</v>
      </c>
      <c r="C1279" s="421"/>
      <c r="D1279" s="41"/>
    </row>
    <row r="1280" spans="1:5" x14ac:dyDescent="0.25">
      <c r="A1280" s="183" t="s">
        <v>707</v>
      </c>
      <c r="B1280" s="415">
        <f>VLOOKUP(B1254,'BANG LUONG 1'!$B$5:$AJ$56,34,0)</f>
        <v>0</v>
      </c>
      <c r="C1280" s="421"/>
      <c r="D1280" s="41"/>
      <c r="E1280" s="108" t="str">
        <f>B1255</f>
        <v>Quách Văn Chánh</v>
      </c>
    </row>
    <row r="1281" spans="1:4" x14ac:dyDescent="0.25">
      <c r="A1281" s="183" t="s">
        <v>546</v>
      </c>
      <c r="B1281" s="415">
        <f>VLOOKUP(B1254,'BANG LUONG 1'!$B$5:$AJ$56,35,0)</f>
        <v>12422000</v>
      </c>
      <c r="C1281" s="421"/>
      <c r="D1281" s="41"/>
    </row>
    <row r="1282" spans="1:4" x14ac:dyDescent="0.25">
      <c r="A1282" s="183"/>
      <c r="B1282" s="412"/>
      <c r="C1282" s="421">
        <v>27</v>
      </c>
      <c r="D1282" s="185"/>
    </row>
    <row r="1283" spans="1:4" x14ac:dyDescent="0.25">
      <c r="A1283" s="184" t="s">
        <v>549</v>
      </c>
      <c r="B1283" s="424">
        <f>'BANG LUONG 1'!$P$3</f>
        <v>43733</v>
      </c>
    </row>
    <row r="1284" spans="1:4" x14ac:dyDescent="0.25">
      <c r="A1284" s="183" t="s">
        <v>1</v>
      </c>
      <c r="B1284" s="185" t="s">
        <v>140</v>
      </c>
      <c r="C1284" s="421">
        <v>1</v>
      </c>
      <c r="D1284" s="41"/>
    </row>
    <row r="1285" spans="1:4" x14ac:dyDescent="0.25">
      <c r="A1285" s="183" t="s">
        <v>2</v>
      </c>
      <c r="B1285" s="185" t="str">
        <f>VLOOKUP($B1284,'BANG LUONG 1'!$B$6:$AB$48,C1285,0)</f>
        <v>Quách Văn Chánh</v>
      </c>
      <c r="C1285" s="421">
        <v>2</v>
      </c>
      <c r="D1285" s="41"/>
    </row>
    <row r="1286" spans="1:4" x14ac:dyDescent="0.25">
      <c r="A1286" s="421" t="s">
        <v>3</v>
      </c>
      <c r="B1286" s="41" t="str">
        <f>VLOOKUP($B1284,'BANG LUONG 1'!$B$6:$AJ$48,C1286,0)</f>
        <v xml:space="preserve">Công nhân </v>
      </c>
      <c r="C1286" s="421">
        <v>3</v>
      </c>
      <c r="D1286" s="41"/>
    </row>
    <row r="1287" spans="1:4" x14ac:dyDescent="0.25">
      <c r="A1287" s="421" t="s">
        <v>376</v>
      </c>
      <c r="B1287" s="410">
        <f>VLOOKUP($B1284,'BANG LUONG 1'!$B$5:$AJ$56,4,0)</f>
        <v>42078</v>
      </c>
      <c r="C1287" s="421">
        <v>4</v>
      </c>
      <c r="D1287" s="41"/>
    </row>
    <row r="1288" spans="1:4" x14ac:dyDescent="0.25">
      <c r="A1288" s="421" t="s">
        <v>698</v>
      </c>
      <c r="B1288" s="411">
        <f>VLOOKUP(B1284,'BANG LUONG 1'!$B$5:$AJ$56,6,0)</f>
        <v>0.04</v>
      </c>
      <c r="C1288" s="421">
        <v>5</v>
      </c>
      <c r="D1288" s="41"/>
    </row>
    <row r="1289" spans="1:4" x14ac:dyDescent="0.25">
      <c r="A1289" s="421" t="s">
        <v>229</v>
      </c>
      <c r="B1289" s="412">
        <f>'thang luong moi'!$F$5</f>
        <v>4012500</v>
      </c>
      <c r="C1289" s="421">
        <v>6</v>
      </c>
      <c r="D1289" s="41"/>
    </row>
    <row r="1290" spans="1:4" x14ac:dyDescent="0.25">
      <c r="A1290" s="421" t="s">
        <v>217</v>
      </c>
      <c r="B1290" s="412" t="str">
        <f>VLOOKUP(B1284,'BANG LUONG 1'!$B$5:$AJ$56,8,0)</f>
        <v>B.02</v>
      </c>
      <c r="C1290" s="421">
        <v>7</v>
      </c>
      <c r="D1290" s="41"/>
    </row>
    <row r="1291" spans="1:4" x14ac:dyDescent="0.25">
      <c r="A1291" s="421" t="s">
        <v>230</v>
      </c>
      <c r="B1291" s="412">
        <f>VLOOKUP(B1284,'BANG LUONG 1'!$B$5:$AJ$56,9,0)</f>
        <v>1</v>
      </c>
      <c r="C1291" s="421">
        <v>8</v>
      </c>
      <c r="D1291" s="41"/>
    </row>
    <row r="1292" spans="1:4" x14ac:dyDescent="0.25">
      <c r="A1292" s="421" t="s">
        <v>538</v>
      </c>
      <c r="B1292" s="412">
        <f>VLOOKUP(B1284,'BANG LUONG 1'!$B$5:$AJ$56,11,0)</f>
        <v>4413750</v>
      </c>
      <c r="C1292" s="421">
        <v>9</v>
      </c>
      <c r="D1292" s="41"/>
    </row>
    <row r="1293" spans="1:4" x14ac:dyDescent="0.25">
      <c r="A1293" s="421" t="s">
        <v>354</v>
      </c>
      <c r="B1293" s="412">
        <f>VLOOKUP(B1284,'BANG LUONG 1'!$B$5:$AJ$56,12,0)</f>
        <v>26</v>
      </c>
      <c r="C1293" s="421">
        <v>10</v>
      </c>
      <c r="D1293" s="41"/>
    </row>
    <row r="1294" spans="1:4" x14ac:dyDescent="0.25">
      <c r="A1294" s="421" t="s">
        <v>534</v>
      </c>
      <c r="B1294" s="412">
        <f>VLOOKUP(B1284,'BANG LUONG 1'!$B$5:$AJ$56,13,0)</f>
        <v>4413750</v>
      </c>
      <c r="C1294" s="421">
        <v>11</v>
      </c>
      <c r="D1294" s="41"/>
    </row>
    <row r="1295" spans="1:4" x14ac:dyDescent="0.25">
      <c r="A1295" s="421" t="s">
        <v>592</v>
      </c>
      <c r="B1295" s="412">
        <f>VLOOKUP(B1284,'BANG LUONG 1'!$B$5:$AJ$56,14,0)</f>
        <v>0</v>
      </c>
      <c r="C1295" s="421">
        <v>12</v>
      </c>
      <c r="D1295" s="41">
        <f>B1292/26*B1295</f>
        <v>0</v>
      </c>
    </row>
    <row r="1296" spans="1:4" x14ac:dyDescent="0.25">
      <c r="A1296" s="421" t="s">
        <v>357</v>
      </c>
      <c r="B1296" s="412">
        <f>VLOOKUP(B1284,'BANG LUONG 1'!$B$5:$AJ$56,15,0)</f>
        <v>69.5</v>
      </c>
      <c r="C1296" s="421">
        <v>13</v>
      </c>
      <c r="D1296" s="41">
        <f>B1292/26/8*1.5*B1296</f>
        <v>2212179.987980769</v>
      </c>
    </row>
    <row r="1297" spans="1:5" x14ac:dyDescent="0.25">
      <c r="A1297" s="421" t="s">
        <v>387</v>
      </c>
      <c r="B1297" s="412">
        <f>VLOOKUP(B1284,'BANG LUONG 1'!$B$5:$AJ$56,16,0)</f>
        <v>32</v>
      </c>
      <c r="C1297" s="421">
        <v>14</v>
      </c>
      <c r="D1297" s="41">
        <f>B1292/26/8*2*B1297</f>
        <v>1358076.923076923</v>
      </c>
    </row>
    <row r="1298" spans="1:5" x14ac:dyDescent="0.25">
      <c r="A1298" s="421" t="s">
        <v>593</v>
      </c>
      <c r="B1298" s="412">
        <f>VLOOKUP(B1284,'BANG LUONG 1'!$B$5:$AJ$56,17,0)</f>
        <v>1</v>
      </c>
      <c r="C1298" s="421"/>
      <c r="D1298" s="41">
        <f>(B1292/26)*B1298</f>
        <v>169759.61538461538</v>
      </c>
    </row>
    <row r="1299" spans="1:5" x14ac:dyDescent="0.25">
      <c r="A1299" s="421" t="s">
        <v>388</v>
      </c>
      <c r="B1299" s="412">
        <f>VLOOKUP(B1284,'BANG LUONG 1'!$B$5:$AJ$56,18,0)</f>
        <v>0</v>
      </c>
      <c r="C1299" s="421">
        <v>15</v>
      </c>
      <c r="D1299" s="41">
        <f>(B1292/26*B1299)*3</f>
        <v>0</v>
      </c>
    </row>
    <row r="1300" spans="1:5" x14ac:dyDescent="0.25">
      <c r="A1300" s="421" t="s">
        <v>533</v>
      </c>
      <c r="B1300" s="412">
        <f>VLOOKUP(B1284,'BANG LUONG 1'!$B$5:$AJ$56,19,0)</f>
        <v>8153766.526442307</v>
      </c>
      <c r="C1300" s="183">
        <v>16</v>
      </c>
      <c r="D1300" s="185">
        <f>B1294+D1296+D1297+D1295+D1299+D1298</f>
        <v>8153766.526442307</v>
      </c>
      <c r="E1300" s="108"/>
    </row>
    <row r="1301" spans="1:5" x14ac:dyDescent="0.25">
      <c r="A1301" s="421" t="s">
        <v>535</v>
      </c>
      <c r="B1301" s="412">
        <f>VLOOKUP(B1284,'BANG LUONG 1'!$B$5:$AJ$56,20,0)</f>
        <v>6864655.0235478822</v>
      </c>
      <c r="C1301" s="421">
        <v>17</v>
      </c>
      <c r="D1301" s="41"/>
    </row>
    <row r="1302" spans="1:5" x14ac:dyDescent="0.25">
      <c r="A1302" s="421" t="s">
        <v>370</v>
      </c>
      <c r="B1302" s="412">
        <f>VLOOKUP(B1284,'BANG LUONG 1'!$B$5:$AJ$56,22,0)</f>
        <v>176550</v>
      </c>
      <c r="C1302" s="421">
        <v>18</v>
      </c>
      <c r="D1302" s="41"/>
    </row>
    <row r="1303" spans="1:5" x14ac:dyDescent="0.25">
      <c r="A1303" s="421" t="s">
        <v>371</v>
      </c>
      <c r="B1303" s="412">
        <f>VLOOKUP(B1284,'BANG LUONG 1'!$B$5:$AJ$56,23,0)</f>
        <v>300000</v>
      </c>
      <c r="C1303" s="421">
        <v>19</v>
      </c>
      <c r="D1303" s="41"/>
    </row>
    <row r="1304" spans="1:5" x14ac:dyDescent="0.25">
      <c r="A1304" s="421" t="s">
        <v>560</v>
      </c>
      <c r="B1304" s="412">
        <f>VLOOKUP(B1284,'BANG LUONG 1'!$B$5:$AJ$56,24,0)</f>
        <v>0</v>
      </c>
      <c r="C1304" s="421">
        <v>22</v>
      </c>
      <c r="D1304" s="41"/>
    </row>
    <row r="1305" spans="1:5" x14ac:dyDescent="0.25">
      <c r="A1305" s="183" t="s">
        <v>237</v>
      </c>
      <c r="B1305" s="415">
        <f>VLOOKUP(B1284,'BANG LUONG 1'!$B$5:$AJ$56,26,0)</f>
        <v>15494971.549990188</v>
      </c>
      <c r="C1305" s="421">
        <v>24</v>
      </c>
      <c r="D1305" s="41"/>
    </row>
    <row r="1306" spans="1:5" x14ac:dyDescent="0.25">
      <c r="A1306" s="421" t="s">
        <v>545</v>
      </c>
      <c r="B1306" s="412">
        <f>VLOOKUP(B1284,'BANG LUONG 1'!$B$5:$AJ$56,27,0)</f>
        <v>3000000</v>
      </c>
      <c r="C1306" s="421">
        <v>25</v>
      </c>
      <c r="D1306" s="41"/>
    </row>
    <row r="1307" spans="1:5" x14ac:dyDescent="0.25">
      <c r="A1307" s="421" t="s">
        <v>544</v>
      </c>
      <c r="B1307" s="412">
        <f>VLOOKUP(B1284,'BANG LUONG 1'!$B$5:$AJ$56,28,0)</f>
        <v>480585</v>
      </c>
      <c r="C1307" s="421">
        <v>26</v>
      </c>
      <c r="D1307" s="41"/>
    </row>
    <row r="1308" spans="1:5" x14ac:dyDescent="0.25">
      <c r="A1308" s="421" t="s">
        <v>712</v>
      </c>
      <c r="B1308" s="415">
        <f>VLOOKUP(B1284,'BANG LUONG 1'!$B$5:$AJ$56,32,0)</f>
        <v>0</v>
      </c>
      <c r="C1308" s="421"/>
      <c r="D1308" s="41"/>
    </row>
    <row r="1309" spans="1:5" x14ac:dyDescent="0.25">
      <c r="A1309" s="421" t="s">
        <v>713</v>
      </c>
      <c r="B1309" s="415">
        <f>VLOOKUP(B1284,'BANG LUONG 1'!$B$5:$AJ$56,33,0)</f>
        <v>308000</v>
      </c>
      <c r="C1309" s="421"/>
      <c r="D1309" s="41"/>
    </row>
    <row r="1310" spans="1:5" x14ac:dyDescent="0.25">
      <c r="A1310" s="183" t="s">
        <v>707</v>
      </c>
      <c r="B1310" s="415">
        <f>VLOOKUP(B1284,'BANG LUONG 1'!$B$5:$AJ$56,34,0)</f>
        <v>0</v>
      </c>
      <c r="C1310" s="421"/>
      <c r="D1310" s="41"/>
      <c r="E1310" s="108" t="str">
        <f>B1285</f>
        <v>Quách Văn Chánh</v>
      </c>
    </row>
    <row r="1311" spans="1:5" x14ac:dyDescent="0.25">
      <c r="A1311" s="183" t="s">
        <v>546</v>
      </c>
      <c r="B1311" s="415">
        <f>VLOOKUP(B1284,'BANG LUONG 1'!$B$5:$AJ$56,35,0)</f>
        <v>12422000</v>
      </c>
      <c r="C1311" s="421"/>
      <c r="D1311" s="41"/>
    </row>
    <row r="1312" spans="1:5" x14ac:dyDescent="0.25">
      <c r="A1312" s="183"/>
      <c r="B1312" s="412"/>
      <c r="C1312" s="421">
        <v>27</v>
      </c>
      <c r="D1312" s="185"/>
    </row>
    <row r="1313" spans="1:4" x14ac:dyDescent="0.25">
      <c r="A1313" s="184" t="s">
        <v>549</v>
      </c>
      <c r="B1313" s="424">
        <f>'BANG LUONG 1'!$P$3</f>
        <v>43733</v>
      </c>
    </row>
    <row r="1314" spans="1:4" x14ac:dyDescent="0.25">
      <c r="A1314" s="183" t="s">
        <v>1</v>
      </c>
      <c r="B1314" s="185" t="s">
        <v>141</v>
      </c>
      <c r="C1314" s="421">
        <v>1</v>
      </c>
      <c r="D1314" s="41"/>
    </row>
    <row r="1315" spans="1:4" x14ac:dyDescent="0.25">
      <c r="A1315" s="183" t="s">
        <v>2</v>
      </c>
      <c r="B1315" s="185" t="str">
        <f>VLOOKUP($B1314,'BANG LUONG 1'!$B$6:$AB$48,C1315,0)</f>
        <v>Trần văn Nguyện</v>
      </c>
      <c r="C1315" s="421">
        <v>2</v>
      </c>
      <c r="D1315" s="41"/>
    </row>
    <row r="1316" spans="1:4" x14ac:dyDescent="0.25">
      <c r="A1316" s="421" t="s">
        <v>3</v>
      </c>
      <c r="B1316" s="41" t="str">
        <f>VLOOKUP($B1314,'BANG LUONG 1'!$B$6:$AJ$48,C1316,0)</f>
        <v>Công nhân  (TX )</v>
      </c>
      <c r="C1316" s="421">
        <v>3</v>
      </c>
      <c r="D1316" s="41"/>
    </row>
    <row r="1317" spans="1:4" x14ac:dyDescent="0.25">
      <c r="A1317" s="421" t="s">
        <v>376</v>
      </c>
      <c r="B1317" s="410">
        <f>VLOOKUP($B1314,'BANG LUONG 1'!$B$5:$AJ$56,4,0)</f>
        <v>42522</v>
      </c>
      <c r="C1317" s="421">
        <v>4</v>
      </c>
      <c r="D1317" s="41"/>
    </row>
    <row r="1318" spans="1:4" x14ac:dyDescent="0.25">
      <c r="A1318" s="421" t="s">
        <v>698</v>
      </c>
      <c r="B1318" s="411">
        <f>VLOOKUP(B1314,'BANG LUONG 1'!$B$5:$AJ$56,6,0)</f>
        <v>0.03</v>
      </c>
      <c r="C1318" s="421">
        <v>5</v>
      </c>
      <c r="D1318" s="41"/>
    </row>
    <row r="1319" spans="1:4" x14ac:dyDescent="0.25">
      <c r="A1319" s="421" t="s">
        <v>229</v>
      </c>
      <c r="B1319" s="412">
        <f>'thang luong moi'!$F$5</f>
        <v>4012500</v>
      </c>
      <c r="C1319" s="421">
        <v>6</v>
      </c>
      <c r="D1319" s="41"/>
    </row>
    <row r="1320" spans="1:4" x14ac:dyDescent="0.25">
      <c r="A1320" s="421" t="s">
        <v>217</v>
      </c>
      <c r="B1320" s="412" t="str">
        <f>VLOOKUP(B1314,'BANG LUONG 1'!$B$5:$AJ$56,8,0)</f>
        <v>B.02</v>
      </c>
      <c r="C1320" s="421">
        <v>7</v>
      </c>
      <c r="D1320" s="41"/>
    </row>
    <row r="1321" spans="1:4" x14ac:dyDescent="0.25">
      <c r="A1321" s="421" t="s">
        <v>230</v>
      </c>
      <c r="B1321" s="412">
        <f>VLOOKUP(B1314,'BANG LUONG 1'!$B$5:$AJ$56,9,0)</f>
        <v>1</v>
      </c>
      <c r="C1321" s="421">
        <v>8</v>
      </c>
      <c r="D1321" s="41"/>
    </row>
    <row r="1322" spans="1:4" x14ac:dyDescent="0.25">
      <c r="A1322" s="421" t="s">
        <v>538</v>
      </c>
      <c r="B1322" s="412">
        <f>VLOOKUP(B1314,'BANG LUONG 1'!$B$5:$AJ$56,11,0)</f>
        <v>4413750</v>
      </c>
      <c r="C1322" s="421">
        <v>9</v>
      </c>
      <c r="D1322" s="41"/>
    </row>
    <row r="1323" spans="1:4" x14ac:dyDescent="0.25">
      <c r="A1323" s="421" t="s">
        <v>354</v>
      </c>
      <c r="B1323" s="412">
        <f>VLOOKUP(B1314,'BANG LUONG 1'!$B$5:$AJ$56,12,0)</f>
        <v>0</v>
      </c>
      <c r="C1323" s="421">
        <v>10</v>
      </c>
      <c r="D1323" s="41"/>
    </row>
    <row r="1324" spans="1:4" x14ac:dyDescent="0.25">
      <c r="A1324" s="421" t="s">
        <v>534</v>
      </c>
      <c r="B1324" s="412">
        <f>VLOOKUP(B1314,'BANG LUONG 1'!$B$5:$AJ$56,13,0)</f>
        <v>0</v>
      </c>
      <c r="C1324" s="421">
        <v>11</v>
      </c>
      <c r="D1324" s="41"/>
    </row>
    <row r="1325" spans="1:4" x14ac:dyDescent="0.25">
      <c r="A1325" s="421" t="s">
        <v>592</v>
      </c>
      <c r="B1325" s="412">
        <f>VLOOKUP(B1314,'BANG LUONG 1'!$B$5:$AJ$56,14,0)</f>
        <v>26</v>
      </c>
      <c r="C1325" s="421">
        <v>12</v>
      </c>
      <c r="D1325" s="41">
        <f>B1322/26*B1325</f>
        <v>4413750</v>
      </c>
    </row>
    <row r="1326" spans="1:4" x14ac:dyDescent="0.25">
      <c r="A1326" s="421" t="s">
        <v>357</v>
      </c>
      <c r="B1326" s="412">
        <f>VLOOKUP(B1314,'BANG LUONG 1'!$B$5:$AJ$56,15,0)</f>
        <v>0</v>
      </c>
      <c r="C1326" s="421">
        <v>13</v>
      </c>
      <c r="D1326" s="41">
        <f>B1322/26/8*1.5*B1326</f>
        <v>0</v>
      </c>
    </row>
    <row r="1327" spans="1:4" x14ac:dyDescent="0.25">
      <c r="A1327" s="421" t="s">
        <v>387</v>
      </c>
      <c r="B1327" s="412">
        <f>VLOOKUP(B1314,'BANG LUONG 1'!$B$5:$AJ$56,16,0)</f>
        <v>8</v>
      </c>
      <c r="C1327" s="421">
        <v>14</v>
      </c>
      <c r="D1327" s="41">
        <f>B1322/26/8*2*B1327</f>
        <v>339519.23076923075</v>
      </c>
    </row>
    <row r="1328" spans="1:4" x14ac:dyDescent="0.25">
      <c r="A1328" s="421" t="s">
        <v>593</v>
      </c>
      <c r="B1328" s="412">
        <f>VLOOKUP(B1314,'BANG LUONG 1'!$B$5:$AJ$56,17,0)</f>
        <v>1</v>
      </c>
      <c r="C1328" s="421"/>
      <c r="D1328" s="41">
        <f>(B1322/26)*B1328</f>
        <v>169759.61538461538</v>
      </c>
    </row>
    <row r="1329" spans="1:5" x14ac:dyDescent="0.25">
      <c r="A1329" s="421" t="s">
        <v>388</v>
      </c>
      <c r="B1329" s="412">
        <f>VLOOKUP(B1314,'BANG LUONG 1'!$B$5:$AJ$56,18,0)</f>
        <v>0</v>
      </c>
      <c r="C1329" s="421">
        <v>15</v>
      </c>
      <c r="D1329" s="41">
        <f>(B1322/26*B1329)*3</f>
        <v>0</v>
      </c>
    </row>
    <row r="1330" spans="1:5" x14ac:dyDescent="0.25">
      <c r="A1330" s="421" t="s">
        <v>533</v>
      </c>
      <c r="B1330" s="412">
        <f>VLOOKUP(B1314,'BANG LUONG 1'!$B$5:$AJ$56,19,0)</f>
        <v>4923028.846153846</v>
      </c>
      <c r="C1330" s="183">
        <v>16</v>
      </c>
      <c r="D1330" s="185">
        <f>B1324+D1326+D1327+D1325+D1329+D1328</f>
        <v>4923028.846153846</v>
      </c>
      <c r="E1330" s="108"/>
    </row>
    <row r="1331" spans="1:5" x14ac:dyDescent="0.25">
      <c r="A1331" s="421" t="s">
        <v>535</v>
      </c>
      <c r="B1331" s="412">
        <f>VLOOKUP(B1314,'BANG LUONG 1'!$B$5:$AJ$56,20,0)</f>
        <v>0</v>
      </c>
      <c r="C1331" s="421">
        <v>17</v>
      </c>
      <c r="D1331" s="41"/>
    </row>
    <row r="1332" spans="1:5" x14ac:dyDescent="0.25">
      <c r="A1332" s="421" t="s">
        <v>370</v>
      </c>
      <c r="B1332" s="412">
        <f>VLOOKUP(B1314,'BANG LUONG 1'!$B$5:$AJ$56,22,0)</f>
        <v>132412.5</v>
      </c>
      <c r="C1332" s="421">
        <v>18</v>
      </c>
      <c r="D1332" s="41"/>
    </row>
    <row r="1333" spans="1:5" x14ac:dyDescent="0.25">
      <c r="A1333" s="421" t="s">
        <v>371</v>
      </c>
      <c r="B1333" s="412">
        <f>VLOOKUP(B1314,'BANG LUONG 1'!$B$5:$AJ$56,23,0)</f>
        <v>0</v>
      </c>
      <c r="C1333" s="421">
        <v>19</v>
      </c>
      <c r="D1333" s="41"/>
    </row>
    <row r="1334" spans="1:5" x14ac:dyDescent="0.25">
      <c r="A1334" s="421" t="s">
        <v>560</v>
      </c>
      <c r="B1334" s="412">
        <f>VLOOKUP(B1314,'BANG LUONG 1'!$B$5:$AJ$56,24,0)</f>
        <v>0</v>
      </c>
      <c r="C1334" s="421">
        <v>22</v>
      </c>
      <c r="D1334" s="41"/>
    </row>
    <row r="1335" spans="1:5" x14ac:dyDescent="0.25">
      <c r="A1335" s="183" t="s">
        <v>237</v>
      </c>
      <c r="B1335" s="415">
        <f>VLOOKUP(B1314,'BANG LUONG 1'!$B$5:$AJ$56,26,0)</f>
        <v>5055441.346153846</v>
      </c>
      <c r="C1335" s="421">
        <v>24</v>
      </c>
      <c r="D1335" s="41"/>
    </row>
    <row r="1336" spans="1:5" x14ac:dyDescent="0.25">
      <c r="A1336" s="421" t="s">
        <v>545</v>
      </c>
      <c r="B1336" s="412">
        <f>VLOOKUP(B1314,'BANG LUONG 1'!$B$5:$AJ$56,27,0)</f>
        <v>0</v>
      </c>
      <c r="C1336" s="421">
        <v>25</v>
      </c>
      <c r="D1336" s="41"/>
    </row>
    <row r="1337" spans="1:5" x14ac:dyDescent="0.25">
      <c r="A1337" s="421" t="s">
        <v>544</v>
      </c>
      <c r="B1337" s="412">
        <f>VLOOKUP(B1314,'BANG LUONG 1'!$B$5:$AJ$56,28,0)</f>
        <v>480585</v>
      </c>
      <c r="C1337" s="421">
        <v>26</v>
      </c>
      <c r="D1337" s="41"/>
    </row>
    <row r="1338" spans="1:5" x14ac:dyDescent="0.25">
      <c r="A1338" s="421" t="s">
        <v>712</v>
      </c>
      <c r="B1338" s="415">
        <f>VLOOKUP(B1314,'BANG LUONG 1'!$B$5:$AJ$56,32,0)</f>
        <v>0</v>
      </c>
      <c r="C1338" s="421"/>
      <c r="D1338" s="41"/>
    </row>
    <row r="1339" spans="1:5" x14ac:dyDescent="0.25">
      <c r="A1339" s="421" t="s">
        <v>713</v>
      </c>
      <c r="B1339" s="415">
        <f>VLOOKUP(B1314,'BANG LUONG 1'!$B$5:$AJ$56,33,0)</f>
        <v>0</v>
      </c>
      <c r="C1339" s="421"/>
      <c r="D1339" s="41"/>
    </row>
    <row r="1340" spans="1:5" x14ac:dyDescent="0.25">
      <c r="A1340" s="183" t="s">
        <v>707</v>
      </c>
      <c r="B1340" s="415">
        <f>VLOOKUP(B1314,'BANG LUONG 1'!$B$5:$AJ$56,34,0)</f>
        <v>0</v>
      </c>
      <c r="C1340" s="421"/>
      <c r="D1340" s="41"/>
      <c r="E1340" s="108" t="str">
        <f>B1315</f>
        <v>Trần văn Nguyện</v>
      </c>
    </row>
    <row r="1341" spans="1:5" x14ac:dyDescent="0.25">
      <c r="A1341" s="183" t="s">
        <v>546</v>
      </c>
      <c r="B1341" s="415">
        <f>VLOOKUP(B1314,'BANG LUONG 1'!$B$5:$AJ$56,35,0)</f>
        <v>4675000</v>
      </c>
      <c r="C1341" s="421"/>
      <c r="D1341" s="41"/>
    </row>
    <row r="1342" spans="1:5" x14ac:dyDescent="0.25">
      <c r="A1342" s="184" t="s">
        <v>549</v>
      </c>
      <c r="B1342" s="424">
        <f>'BANG LUONG 1'!$P$3</f>
        <v>43733</v>
      </c>
    </row>
    <row r="1343" spans="1:5" x14ac:dyDescent="0.25">
      <c r="A1343" s="183" t="s">
        <v>1</v>
      </c>
      <c r="B1343" s="185" t="s">
        <v>141</v>
      </c>
      <c r="C1343" s="421">
        <v>1</v>
      </c>
      <c r="D1343" s="41"/>
    </row>
    <row r="1344" spans="1:5" x14ac:dyDescent="0.25">
      <c r="A1344" s="183" t="s">
        <v>2</v>
      </c>
      <c r="B1344" s="185" t="str">
        <f>VLOOKUP($B1343,'BANG LUONG 1'!$B$6:$AB$48,C1344,0)</f>
        <v>Trần văn Nguyện</v>
      </c>
      <c r="C1344" s="421">
        <v>2</v>
      </c>
      <c r="D1344" s="41"/>
    </row>
    <row r="1345" spans="1:5" x14ac:dyDescent="0.25">
      <c r="A1345" s="421" t="s">
        <v>3</v>
      </c>
      <c r="B1345" s="41" t="str">
        <f>VLOOKUP($B1343,'BANG LUONG 1'!$B$6:$AJ$48,C1345,0)</f>
        <v>Công nhân  (TX )</v>
      </c>
      <c r="C1345" s="421">
        <v>3</v>
      </c>
      <c r="D1345" s="41"/>
    </row>
    <row r="1346" spans="1:5" x14ac:dyDescent="0.25">
      <c r="A1346" s="421" t="s">
        <v>376</v>
      </c>
      <c r="B1346" s="410">
        <f>VLOOKUP($B1343,'BANG LUONG 1'!$B$5:$AJ$56,4,0)</f>
        <v>42522</v>
      </c>
      <c r="C1346" s="421">
        <v>4</v>
      </c>
      <c r="D1346" s="41"/>
    </row>
    <row r="1347" spans="1:5" x14ac:dyDescent="0.25">
      <c r="A1347" s="421" t="s">
        <v>698</v>
      </c>
      <c r="B1347" s="411">
        <f>VLOOKUP(B1343,'BANG LUONG 1'!$B$5:$AJ$56,6,0)</f>
        <v>0.03</v>
      </c>
      <c r="C1347" s="421">
        <v>5</v>
      </c>
      <c r="D1347" s="41"/>
    </row>
    <row r="1348" spans="1:5" x14ac:dyDescent="0.25">
      <c r="A1348" s="421" t="s">
        <v>229</v>
      </c>
      <c r="B1348" s="412">
        <f>'thang luong moi'!$F$5</f>
        <v>4012500</v>
      </c>
      <c r="C1348" s="421">
        <v>6</v>
      </c>
      <c r="D1348" s="41"/>
    </row>
    <row r="1349" spans="1:5" x14ac:dyDescent="0.25">
      <c r="A1349" s="421" t="s">
        <v>217</v>
      </c>
      <c r="B1349" s="412" t="str">
        <f>VLOOKUP(B1343,'BANG LUONG 1'!$B$5:$AJ$56,8,0)</f>
        <v>B.02</v>
      </c>
      <c r="C1349" s="421">
        <v>7</v>
      </c>
      <c r="D1349" s="41"/>
    </row>
    <row r="1350" spans="1:5" x14ac:dyDescent="0.25">
      <c r="A1350" s="421" t="s">
        <v>230</v>
      </c>
      <c r="B1350" s="412">
        <f>VLOOKUP(B1343,'BANG LUONG 1'!$B$5:$AJ$56,9,0)</f>
        <v>1</v>
      </c>
      <c r="C1350" s="421">
        <v>8</v>
      </c>
      <c r="D1350" s="41"/>
    </row>
    <row r="1351" spans="1:5" x14ac:dyDescent="0.25">
      <c r="A1351" s="421" t="s">
        <v>538</v>
      </c>
      <c r="B1351" s="412">
        <f>VLOOKUP(B1343,'BANG LUONG 1'!$B$5:$AJ$56,11,0)</f>
        <v>4413750</v>
      </c>
      <c r="C1351" s="421">
        <v>9</v>
      </c>
      <c r="D1351" s="41"/>
    </row>
    <row r="1352" spans="1:5" x14ac:dyDescent="0.25">
      <c r="A1352" s="421" t="s">
        <v>354</v>
      </c>
      <c r="B1352" s="412">
        <f>VLOOKUP(B1343,'BANG LUONG 1'!$B$5:$AJ$56,12,0)</f>
        <v>0</v>
      </c>
      <c r="C1352" s="421">
        <v>10</v>
      </c>
      <c r="D1352" s="41"/>
    </row>
    <row r="1353" spans="1:5" x14ac:dyDescent="0.25">
      <c r="A1353" s="421" t="s">
        <v>534</v>
      </c>
      <c r="B1353" s="412">
        <f>VLOOKUP(B1343,'BANG LUONG 1'!$B$5:$AJ$56,13,0)</f>
        <v>0</v>
      </c>
      <c r="C1353" s="421">
        <v>11</v>
      </c>
      <c r="D1353" s="41"/>
    </row>
    <row r="1354" spans="1:5" x14ac:dyDescent="0.25">
      <c r="A1354" s="421" t="s">
        <v>592</v>
      </c>
      <c r="B1354" s="412">
        <f>VLOOKUP(B1343,'BANG LUONG 1'!$B$5:$AJ$56,14,0)</f>
        <v>26</v>
      </c>
      <c r="C1354" s="421">
        <v>12</v>
      </c>
      <c r="D1354" s="41">
        <f>B1351/26*B1354</f>
        <v>4413750</v>
      </c>
    </row>
    <row r="1355" spans="1:5" x14ac:dyDescent="0.25">
      <c r="A1355" s="421" t="s">
        <v>357</v>
      </c>
      <c r="B1355" s="412">
        <f>VLOOKUP(B1343,'BANG LUONG 1'!$B$5:$AJ$56,15,0)</f>
        <v>0</v>
      </c>
      <c r="C1355" s="421">
        <v>13</v>
      </c>
      <c r="D1355" s="41">
        <f>B1351/26/8*1.5*B1355</f>
        <v>0</v>
      </c>
    </row>
    <row r="1356" spans="1:5" x14ac:dyDescent="0.25">
      <c r="A1356" s="421" t="s">
        <v>387</v>
      </c>
      <c r="B1356" s="412">
        <f>VLOOKUP(B1343,'BANG LUONG 1'!$B$5:$AJ$56,16,0)</f>
        <v>8</v>
      </c>
      <c r="C1356" s="421">
        <v>14</v>
      </c>
      <c r="D1356" s="41">
        <f>B1351/26/8*2*B1356</f>
        <v>339519.23076923075</v>
      </c>
    </row>
    <row r="1357" spans="1:5" x14ac:dyDescent="0.25">
      <c r="A1357" s="421" t="s">
        <v>593</v>
      </c>
      <c r="B1357" s="412">
        <f>VLOOKUP(B1343,'BANG LUONG 1'!$B$5:$AJ$56,17,0)</f>
        <v>1</v>
      </c>
      <c r="C1357" s="421"/>
      <c r="D1357" s="41">
        <f>(B1351/26)*B1357</f>
        <v>169759.61538461538</v>
      </c>
    </row>
    <row r="1358" spans="1:5" x14ac:dyDescent="0.25">
      <c r="A1358" s="421" t="s">
        <v>388</v>
      </c>
      <c r="B1358" s="412">
        <f>VLOOKUP(B1343,'BANG LUONG 1'!$B$5:$AJ$56,18,0)</f>
        <v>0</v>
      </c>
      <c r="C1358" s="421">
        <v>15</v>
      </c>
      <c r="D1358" s="41">
        <f>(B1351/26*B1358)*3</f>
        <v>0</v>
      </c>
    </row>
    <row r="1359" spans="1:5" x14ac:dyDescent="0.25">
      <c r="A1359" s="421" t="s">
        <v>533</v>
      </c>
      <c r="B1359" s="412">
        <f>VLOOKUP(B1343,'BANG LUONG 1'!$B$5:$AJ$56,19,0)</f>
        <v>4923028.846153846</v>
      </c>
      <c r="C1359" s="183">
        <v>16</v>
      </c>
      <c r="D1359" s="185">
        <f>B1353+D1355+D1356+D1354+D1358+D1357</f>
        <v>4923028.846153846</v>
      </c>
      <c r="E1359" s="108"/>
    </row>
    <row r="1360" spans="1:5" x14ac:dyDescent="0.25">
      <c r="A1360" s="421" t="s">
        <v>535</v>
      </c>
      <c r="B1360" s="412">
        <f>VLOOKUP(B1343,'BANG LUONG 1'!$B$5:$AJ$56,20,0)</f>
        <v>0</v>
      </c>
      <c r="C1360" s="421">
        <v>17</v>
      </c>
      <c r="D1360" s="41"/>
    </row>
    <row r="1361" spans="1:5" x14ac:dyDescent="0.25">
      <c r="A1361" s="421" t="s">
        <v>370</v>
      </c>
      <c r="B1361" s="412">
        <f>VLOOKUP(B1343,'BANG LUONG 1'!$B$5:$AJ$56,22,0)</f>
        <v>132412.5</v>
      </c>
      <c r="C1361" s="421">
        <v>18</v>
      </c>
      <c r="D1361" s="41"/>
    </row>
    <row r="1362" spans="1:5" x14ac:dyDescent="0.25">
      <c r="A1362" s="421" t="s">
        <v>371</v>
      </c>
      <c r="B1362" s="412">
        <f>VLOOKUP(B1343,'BANG LUONG 1'!$B$5:$AJ$56,23,0)</f>
        <v>0</v>
      </c>
      <c r="C1362" s="421">
        <v>19</v>
      </c>
      <c r="D1362" s="41"/>
    </row>
    <row r="1363" spans="1:5" x14ac:dyDescent="0.25">
      <c r="A1363" s="421" t="s">
        <v>560</v>
      </c>
      <c r="B1363" s="412">
        <f>VLOOKUP(B1343,'BANG LUONG 1'!$B$5:$AJ$56,24,0)</f>
        <v>0</v>
      </c>
      <c r="C1363" s="421">
        <v>22</v>
      </c>
      <c r="D1363" s="41"/>
    </row>
    <row r="1364" spans="1:5" x14ac:dyDescent="0.25">
      <c r="A1364" s="183" t="s">
        <v>237</v>
      </c>
      <c r="B1364" s="415">
        <f>VLOOKUP(B1343,'BANG LUONG 1'!$B$5:$AJ$56,26,0)</f>
        <v>5055441.346153846</v>
      </c>
      <c r="C1364" s="421">
        <v>24</v>
      </c>
      <c r="D1364" s="41"/>
    </row>
    <row r="1365" spans="1:5" x14ac:dyDescent="0.25">
      <c r="A1365" s="421" t="s">
        <v>545</v>
      </c>
      <c r="B1365" s="412">
        <f>VLOOKUP(B1343,'BANG LUONG 1'!$B$5:$AJ$56,27,0)</f>
        <v>0</v>
      </c>
      <c r="C1365" s="421">
        <v>25</v>
      </c>
      <c r="D1365" s="41"/>
    </row>
    <row r="1366" spans="1:5" x14ac:dyDescent="0.25">
      <c r="A1366" s="421" t="s">
        <v>544</v>
      </c>
      <c r="B1366" s="412">
        <f>VLOOKUP(B1343,'BANG LUONG 1'!$B$5:$AJ$56,28,0)</f>
        <v>480585</v>
      </c>
      <c r="C1366" s="421">
        <v>26</v>
      </c>
      <c r="D1366" s="41"/>
    </row>
    <row r="1367" spans="1:5" x14ac:dyDescent="0.25">
      <c r="A1367" s="421" t="s">
        <v>712</v>
      </c>
      <c r="B1367" s="415">
        <f>VLOOKUP(B1343,'BANG LUONG 1'!$B$5:$AJ$56,32,0)</f>
        <v>0</v>
      </c>
      <c r="C1367" s="421"/>
      <c r="D1367" s="41"/>
    </row>
    <row r="1368" spans="1:5" x14ac:dyDescent="0.25">
      <c r="A1368" s="421" t="s">
        <v>713</v>
      </c>
      <c r="B1368" s="415">
        <f>VLOOKUP(B1343,'BANG LUONG 1'!$B$5:$AJ$56,33,0)</f>
        <v>0</v>
      </c>
      <c r="C1368" s="421"/>
      <c r="D1368" s="41"/>
    </row>
    <row r="1369" spans="1:5" x14ac:dyDescent="0.25">
      <c r="A1369" s="183" t="s">
        <v>707</v>
      </c>
      <c r="B1369" s="415">
        <f>VLOOKUP(B1343,'BANG LUONG 1'!$B$5:$AJ$56,34,0)</f>
        <v>0</v>
      </c>
      <c r="C1369" s="421"/>
      <c r="D1369" s="41"/>
      <c r="E1369" s="108" t="str">
        <f>B1344</f>
        <v>Trần văn Nguyện</v>
      </c>
    </row>
    <row r="1370" spans="1:5" x14ac:dyDescent="0.25">
      <c r="A1370" s="183" t="s">
        <v>546</v>
      </c>
      <c r="B1370" s="415">
        <f>VLOOKUP(B1343,'BANG LUONG 1'!$B$5:$AJ$56,35,0)</f>
        <v>4675000</v>
      </c>
      <c r="C1370" s="421"/>
      <c r="D1370" s="41"/>
    </row>
    <row r="1371" spans="1:5" x14ac:dyDescent="0.25">
      <c r="A1371" s="183"/>
      <c r="B1371" s="412"/>
      <c r="C1371" s="421">
        <v>27</v>
      </c>
      <c r="D1371" s="185"/>
    </row>
    <row r="1372" spans="1:5" x14ac:dyDescent="0.25">
      <c r="A1372" s="184" t="s">
        <v>549</v>
      </c>
      <c r="B1372" s="424">
        <f>'BANG LUONG 1'!$P$3</f>
        <v>43733</v>
      </c>
    </row>
    <row r="1373" spans="1:5" x14ac:dyDescent="0.25">
      <c r="A1373" s="183" t="s">
        <v>1</v>
      </c>
      <c r="B1373" s="185" t="s">
        <v>142</v>
      </c>
      <c r="C1373" s="421">
        <v>1</v>
      </c>
      <c r="D1373" s="41"/>
    </row>
    <row r="1374" spans="1:5" x14ac:dyDescent="0.25">
      <c r="A1374" s="183" t="s">
        <v>2</v>
      </c>
      <c r="B1374" s="185" t="str">
        <f>VLOOKUP($B1373,'BANG LUONG 1'!$B$6:$AB$48,C1374,0)</f>
        <v>Châu Văn Tâm</v>
      </c>
      <c r="C1374" s="421">
        <v>2</v>
      </c>
      <c r="D1374" s="41"/>
    </row>
    <row r="1375" spans="1:5" x14ac:dyDescent="0.25">
      <c r="A1375" s="421" t="s">
        <v>3</v>
      </c>
      <c r="B1375" s="41" t="str">
        <f>VLOOKUP($B1373,'BANG LUONG 1'!$B$6:$AJ$48,C1375,0)</f>
        <v>Lái xe cơ giới</v>
      </c>
      <c r="C1375" s="421">
        <v>3</v>
      </c>
      <c r="D1375" s="41"/>
    </row>
    <row r="1376" spans="1:5" x14ac:dyDescent="0.25">
      <c r="A1376" s="421" t="s">
        <v>376</v>
      </c>
      <c r="B1376" s="410">
        <f>VLOOKUP($B1373,'BANG LUONG 1'!$B$5:$AJ$56,4,0)</f>
        <v>43248</v>
      </c>
      <c r="C1376" s="421">
        <v>4</v>
      </c>
      <c r="D1376" s="41"/>
    </row>
    <row r="1377" spans="1:5" x14ac:dyDescent="0.25">
      <c r="A1377" s="421" t="s">
        <v>698</v>
      </c>
      <c r="B1377" s="411">
        <f>VLOOKUP(B1373,'BANG LUONG 1'!$B$5:$AJ$56,6,0)</f>
        <v>0</v>
      </c>
      <c r="C1377" s="421">
        <v>5</v>
      </c>
      <c r="D1377" s="41"/>
    </row>
    <row r="1378" spans="1:5" x14ac:dyDescent="0.25">
      <c r="A1378" s="421" t="s">
        <v>229</v>
      </c>
      <c r="B1378" s="412">
        <f>'thang luong moi'!$F$5</f>
        <v>4012500</v>
      </c>
      <c r="C1378" s="421">
        <v>6</v>
      </c>
      <c r="D1378" s="41"/>
    </row>
    <row r="1379" spans="1:5" x14ac:dyDescent="0.25">
      <c r="A1379" s="421" t="s">
        <v>217</v>
      </c>
      <c r="B1379" s="412" t="str">
        <f>VLOOKUP(B1373,'BANG LUONG 1'!$B$5:$AJ$56,8,0)</f>
        <v>B.02</v>
      </c>
      <c r="C1379" s="421">
        <v>7</v>
      </c>
      <c r="D1379" s="41"/>
    </row>
    <row r="1380" spans="1:5" x14ac:dyDescent="0.25">
      <c r="A1380" s="421" t="s">
        <v>230</v>
      </c>
      <c r="B1380" s="412">
        <f>VLOOKUP(B1373,'BANG LUONG 1'!$B$5:$AJ$56,9,0)</f>
        <v>1</v>
      </c>
      <c r="C1380" s="421">
        <v>8</v>
      </c>
      <c r="D1380" s="41"/>
    </row>
    <row r="1381" spans="1:5" x14ac:dyDescent="0.25">
      <c r="A1381" s="421" t="s">
        <v>538</v>
      </c>
      <c r="B1381" s="412">
        <f>VLOOKUP(B1373,'BANG LUONG 1'!$B$5:$AJ$56,11,0)</f>
        <v>4413750</v>
      </c>
      <c r="C1381" s="421">
        <v>9</v>
      </c>
      <c r="D1381" s="41"/>
    </row>
    <row r="1382" spans="1:5" x14ac:dyDescent="0.25">
      <c r="A1382" s="421" t="s">
        <v>354</v>
      </c>
      <c r="B1382" s="412">
        <f>VLOOKUP(B1373,'BANG LUONG 1'!$B$5:$AJ$56,12,0)</f>
        <v>26</v>
      </c>
      <c r="C1382" s="421">
        <v>10</v>
      </c>
      <c r="D1382" s="41"/>
    </row>
    <row r="1383" spans="1:5" x14ac:dyDescent="0.25">
      <c r="A1383" s="421" t="s">
        <v>534</v>
      </c>
      <c r="B1383" s="412">
        <f>VLOOKUP(B1373,'BANG LUONG 1'!$B$5:$AJ$56,13,0)</f>
        <v>4413750</v>
      </c>
      <c r="C1383" s="421">
        <v>11</v>
      </c>
      <c r="D1383" s="41"/>
    </row>
    <row r="1384" spans="1:5" x14ac:dyDescent="0.25">
      <c r="A1384" s="421" t="s">
        <v>592</v>
      </c>
      <c r="B1384" s="412">
        <f>VLOOKUP(B1373,'BANG LUONG 1'!$B$5:$AJ$56,14,0)</f>
        <v>0</v>
      </c>
      <c r="C1384" s="421">
        <v>12</v>
      </c>
      <c r="D1384" s="41">
        <f>B1381/26*B1384</f>
        <v>0</v>
      </c>
    </row>
    <row r="1385" spans="1:5" x14ac:dyDescent="0.25">
      <c r="A1385" s="421" t="s">
        <v>357</v>
      </c>
      <c r="B1385" s="412">
        <f>VLOOKUP(B1373,'BANG LUONG 1'!$B$5:$AJ$56,15,0)</f>
        <v>78</v>
      </c>
      <c r="C1385" s="421">
        <v>13</v>
      </c>
      <c r="D1385" s="41">
        <f>B1381/26/8*1.5*B1385</f>
        <v>2482734.375</v>
      </c>
    </row>
    <row r="1386" spans="1:5" x14ac:dyDescent="0.25">
      <c r="A1386" s="421" t="s">
        <v>387</v>
      </c>
      <c r="B1386" s="412">
        <f>VLOOKUP(B1373,'BANG LUONG 1'!$B$5:$AJ$56,16,0)</f>
        <v>16</v>
      </c>
      <c r="C1386" s="421">
        <v>14</v>
      </c>
      <c r="D1386" s="41">
        <f>B1381/26/8*2*B1386</f>
        <v>679038.4615384615</v>
      </c>
    </row>
    <row r="1387" spans="1:5" x14ac:dyDescent="0.25">
      <c r="A1387" s="421" t="s">
        <v>593</v>
      </c>
      <c r="B1387" s="412">
        <f>VLOOKUP(B1373,'BANG LUONG 1'!$B$5:$AJ$56,17,0)</f>
        <v>1</v>
      </c>
      <c r="C1387" s="421"/>
      <c r="D1387" s="41">
        <f>(B1381/26)*B1387</f>
        <v>169759.61538461538</v>
      </c>
    </row>
    <row r="1388" spans="1:5" x14ac:dyDescent="0.25">
      <c r="A1388" s="421" t="s">
        <v>388</v>
      </c>
      <c r="B1388" s="412">
        <f>VLOOKUP(B1373,'BANG LUONG 1'!$B$5:$AJ$56,18,0)</f>
        <v>0</v>
      </c>
      <c r="C1388" s="421">
        <v>15</v>
      </c>
      <c r="D1388" s="41">
        <f>(B1381/26*B1388)*3</f>
        <v>0</v>
      </c>
    </row>
    <row r="1389" spans="1:5" x14ac:dyDescent="0.25">
      <c r="A1389" s="421" t="s">
        <v>533</v>
      </c>
      <c r="B1389" s="412">
        <f>VLOOKUP(B1373,'BANG LUONG 1'!$B$5:$AJ$56,19,0)</f>
        <v>7745282.451923077</v>
      </c>
      <c r="C1389" s="183">
        <v>16</v>
      </c>
      <c r="D1389" s="185">
        <f>B1383+D1385+D1386+D1384+D1388+D1387</f>
        <v>7745282.451923077</v>
      </c>
      <c r="E1389" s="108"/>
    </row>
    <row r="1390" spans="1:5" x14ac:dyDescent="0.25">
      <c r="A1390" s="421" t="s">
        <v>535</v>
      </c>
      <c r="B1390" s="412">
        <f>VLOOKUP(B1373,'BANG LUONG 1'!$B$5:$AJ$56,20,0)</f>
        <v>5859807.2998430151</v>
      </c>
      <c r="C1390" s="421">
        <v>17</v>
      </c>
      <c r="D1390" s="41"/>
    </row>
    <row r="1391" spans="1:5" x14ac:dyDescent="0.25">
      <c r="A1391" s="421" t="s">
        <v>370</v>
      </c>
      <c r="B1391" s="412">
        <f>VLOOKUP(B1373,'BANG LUONG 1'!$B$5:$AJ$56,22,0)</f>
        <v>0</v>
      </c>
      <c r="C1391" s="421">
        <v>18</v>
      </c>
      <c r="D1391" s="41"/>
    </row>
    <row r="1392" spans="1:5" x14ac:dyDescent="0.25">
      <c r="A1392" s="421" t="s">
        <v>371</v>
      </c>
      <c r="B1392" s="412">
        <f>VLOOKUP(B1373,'BANG LUONG 1'!$B$5:$AJ$56,23,0)</f>
        <v>300000</v>
      </c>
      <c r="C1392" s="421">
        <v>19</v>
      </c>
      <c r="D1392" s="41"/>
    </row>
    <row r="1393" spans="1:5" x14ac:dyDescent="0.25">
      <c r="A1393" s="421" t="s">
        <v>560</v>
      </c>
      <c r="B1393" s="412">
        <f>VLOOKUP(B1373,'BANG LUONG 1'!$B$5:$AJ$56,24,0)</f>
        <v>0</v>
      </c>
      <c r="C1393" s="421">
        <v>22</v>
      </c>
      <c r="D1393" s="41"/>
    </row>
    <row r="1394" spans="1:5" x14ac:dyDescent="0.25">
      <c r="A1394" s="183" t="s">
        <v>237</v>
      </c>
      <c r="B1394" s="415">
        <f>VLOOKUP(B1373,'BANG LUONG 1'!$B$5:$AJ$56,26,0)</f>
        <v>13905089.751766093</v>
      </c>
      <c r="C1394" s="421">
        <v>24</v>
      </c>
      <c r="D1394" s="41"/>
    </row>
    <row r="1395" spans="1:5" x14ac:dyDescent="0.25">
      <c r="A1395" s="421" t="s">
        <v>545</v>
      </c>
      <c r="B1395" s="412">
        <f>VLOOKUP(B1373,'BANG LUONG 1'!$B$5:$AJ$56,27,0)</f>
        <v>4000000</v>
      </c>
      <c r="C1395" s="421">
        <v>25</v>
      </c>
      <c r="D1395" s="41"/>
    </row>
    <row r="1396" spans="1:5" x14ac:dyDescent="0.25">
      <c r="A1396" s="421" t="s">
        <v>544</v>
      </c>
      <c r="B1396" s="412">
        <f>VLOOKUP(B1373,'BANG LUONG 1'!$B$5:$AJ$56,28,0)</f>
        <v>480585</v>
      </c>
      <c r="C1396" s="421">
        <v>26</v>
      </c>
      <c r="D1396" s="41"/>
    </row>
    <row r="1397" spans="1:5" x14ac:dyDescent="0.25">
      <c r="A1397" s="421" t="s">
        <v>712</v>
      </c>
      <c r="B1397" s="415">
        <f>VLOOKUP(B1373,'BANG LUONG 1'!$B$5:$AJ$56,32,0)</f>
        <v>0</v>
      </c>
      <c r="C1397" s="421"/>
      <c r="D1397" s="41"/>
    </row>
    <row r="1398" spans="1:5" x14ac:dyDescent="0.25">
      <c r="A1398" s="421" t="s">
        <v>713</v>
      </c>
      <c r="B1398" s="415">
        <f>VLOOKUP(B1373,'BANG LUONG 1'!$B$5:$AJ$56,33,0)</f>
        <v>396000</v>
      </c>
      <c r="C1398" s="421"/>
      <c r="D1398" s="41"/>
    </row>
    <row r="1399" spans="1:5" x14ac:dyDescent="0.25">
      <c r="A1399" s="183" t="s">
        <v>707</v>
      </c>
      <c r="B1399" s="415">
        <f>VLOOKUP(B1373,'BANG LUONG 1'!$B$5:$AJ$56,34,0)</f>
        <v>0</v>
      </c>
      <c r="C1399" s="421"/>
      <c r="D1399" s="41"/>
      <c r="E1399" s="108" t="str">
        <f>B1374</f>
        <v>Châu Văn Tâm</v>
      </c>
    </row>
    <row r="1400" spans="1:5" x14ac:dyDescent="0.25">
      <c r="A1400" s="183" t="s">
        <v>546</v>
      </c>
      <c r="B1400" s="415">
        <f>VLOOKUP(B1373,'BANG LUONG 1'!$B$5:$AJ$56,35,0)</f>
        <v>9921000</v>
      </c>
      <c r="C1400" s="421"/>
      <c r="D1400" s="41"/>
    </row>
    <row r="1401" spans="1:5" x14ac:dyDescent="0.25">
      <c r="A1401" s="183"/>
      <c r="B1401" s="412"/>
      <c r="C1401" s="421">
        <v>27</v>
      </c>
      <c r="D1401" s="185"/>
    </row>
    <row r="1402" spans="1:5" x14ac:dyDescent="0.25">
      <c r="A1402" s="184" t="s">
        <v>549</v>
      </c>
      <c r="B1402" s="424">
        <f>'BANG LUONG 1'!$P$3</f>
        <v>43733</v>
      </c>
    </row>
    <row r="1403" spans="1:5" x14ac:dyDescent="0.25">
      <c r="A1403" s="183" t="s">
        <v>1</v>
      </c>
      <c r="B1403" s="185" t="s">
        <v>142</v>
      </c>
      <c r="C1403" s="421">
        <v>1</v>
      </c>
      <c r="D1403" s="41"/>
    </row>
    <row r="1404" spans="1:5" x14ac:dyDescent="0.25">
      <c r="A1404" s="183" t="s">
        <v>2</v>
      </c>
      <c r="B1404" s="185" t="str">
        <f>VLOOKUP($B1403,'BANG LUONG 1'!$B$6:$AB$48,C1404,0)</f>
        <v>Châu Văn Tâm</v>
      </c>
      <c r="C1404" s="421">
        <v>2</v>
      </c>
      <c r="D1404" s="41"/>
    </row>
    <row r="1405" spans="1:5" x14ac:dyDescent="0.25">
      <c r="A1405" s="421" t="s">
        <v>3</v>
      </c>
      <c r="B1405" s="41" t="str">
        <f>VLOOKUP($B1403,'BANG LUONG 1'!$B$6:$AJ$48,C1405,0)</f>
        <v>Lái xe cơ giới</v>
      </c>
      <c r="C1405" s="421">
        <v>3</v>
      </c>
      <c r="D1405" s="41"/>
    </row>
    <row r="1406" spans="1:5" x14ac:dyDescent="0.25">
      <c r="A1406" s="421" t="s">
        <v>376</v>
      </c>
      <c r="B1406" s="410">
        <f>VLOOKUP($B1403,'BANG LUONG 1'!$B$5:$AJ$56,4,0)</f>
        <v>43248</v>
      </c>
      <c r="C1406" s="421">
        <v>4</v>
      </c>
      <c r="D1406" s="41"/>
    </row>
    <row r="1407" spans="1:5" x14ac:dyDescent="0.25">
      <c r="A1407" s="421" t="s">
        <v>698</v>
      </c>
      <c r="B1407" s="411">
        <f>VLOOKUP(B1403,'BANG LUONG 1'!$B$5:$AJ$56,6,0)</f>
        <v>0</v>
      </c>
      <c r="C1407" s="421">
        <v>5</v>
      </c>
      <c r="D1407" s="41"/>
    </row>
    <row r="1408" spans="1:5" x14ac:dyDescent="0.25">
      <c r="A1408" s="421" t="s">
        <v>229</v>
      </c>
      <c r="B1408" s="412">
        <f>'thang luong moi'!$F$5</f>
        <v>4012500</v>
      </c>
      <c r="C1408" s="421">
        <v>6</v>
      </c>
      <c r="D1408" s="41"/>
    </row>
    <row r="1409" spans="1:5" x14ac:dyDescent="0.25">
      <c r="A1409" s="421" t="s">
        <v>217</v>
      </c>
      <c r="B1409" s="412" t="str">
        <f>VLOOKUP(B1403,'BANG LUONG 1'!$B$5:$AJ$56,8,0)</f>
        <v>B.02</v>
      </c>
      <c r="C1409" s="421">
        <v>7</v>
      </c>
      <c r="D1409" s="41"/>
    </row>
    <row r="1410" spans="1:5" x14ac:dyDescent="0.25">
      <c r="A1410" s="421" t="s">
        <v>230</v>
      </c>
      <c r="B1410" s="412">
        <f>VLOOKUP(B1403,'BANG LUONG 1'!$B$5:$AJ$56,9,0)</f>
        <v>1</v>
      </c>
      <c r="C1410" s="421">
        <v>8</v>
      </c>
      <c r="D1410" s="41"/>
    </row>
    <row r="1411" spans="1:5" x14ac:dyDescent="0.25">
      <c r="A1411" s="421" t="s">
        <v>538</v>
      </c>
      <c r="B1411" s="412">
        <f>VLOOKUP(B1403,'BANG LUONG 1'!$B$5:$AJ$56,11,0)</f>
        <v>4413750</v>
      </c>
      <c r="C1411" s="421">
        <v>9</v>
      </c>
      <c r="D1411" s="41"/>
    </row>
    <row r="1412" spans="1:5" x14ac:dyDescent="0.25">
      <c r="A1412" s="421" t="s">
        <v>354</v>
      </c>
      <c r="B1412" s="412">
        <f>VLOOKUP(B1403,'BANG LUONG 1'!$B$5:$AJ$56,12,0)</f>
        <v>26</v>
      </c>
      <c r="C1412" s="421">
        <v>10</v>
      </c>
      <c r="D1412" s="41"/>
    </row>
    <row r="1413" spans="1:5" x14ac:dyDescent="0.25">
      <c r="A1413" s="421" t="s">
        <v>534</v>
      </c>
      <c r="B1413" s="412">
        <f>VLOOKUP(B1403,'BANG LUONG 1'!$B$5:$AJ$56,13,0)</f>
        <v>4413750</v>
      </c>
      <c r="C1413" s="421">
        <v>11</v>
      </c>
      <c r="D1413" s="41"/>
    </row>
    <row r="1414" spans="1:5" x14ac:dyDescent="0.25">
      <c r="A1414" s="421" t="s">
        <v>592</v>
      </c>
      <c r="B1414" s="412">
        <f>VLOOKUP(B1403,'BANG LUONG 1'!$B$5:$AJ$56,14,0)</f>
        <v>0</v>
      </c>
      <c r="C1414" s="421">
        <v>12</v>
      </c>
      <c r="D1414" s="41">
        <f>B1411/26*B1414</f>
        <v>0</v>
      </c>
    </row>
    <row r="1415" spans="1:5" x14ac:dyDescent="0.25">
      <c r="A1415" s="421" t="s">
        <v>357</v>
      </c>
      <c r="B1415" s="412">
        <f>VLOOKUP(B1403,'BANG LUONG 1'!$B$5:$AJ$56,15,0)</f>
        <v>78</v>
      </c>
      <c r="C1415" s="421">
        <v>13</v>
      </c>
      <c r="D1415" s="41">
        <f>B1411/26/8*1.5*B1415</f>
        <v>2482734.375</v>
      </c>
    </row>
    <row r="1416" spans="1:5" x14ac:dyDescent="0.25">
      <c r="A1416" s="421" t="s">
        <v>387</v>
      </c>
      <c r="B1416" s="412">
        <f>VLOOKUP(B1403,'BANG LUONG 1'!$B$5:$AJ$56,16,0)</f>
        <v>16</v>
      </c>
      <c r="C1416" s="421">
        <v>14</v>
      </c>
      <c r="D1416" s="41">
        <f>B1411/26/8*2*B1416</f>
        <v>679038.4615384615</v>
      </c>
    </row>
    <row r="1417" spans="1:5" x14ac:dyDescent="0.25">
      <c r="A1417" s="421" t="s">
        <v>593</v>
      </c>
      <c r="B1417" s="412">
        <f>VLOOKUP(B1403,'BANG LUONG 1'!$B$5:$AJ$56,17,0)</f>
        <v>1</v>
      </c>
      <c r="C1417" s="421"/>
      <c r="D1417" s="41">
        <f>(B1411/26)*B1417</f>
        <v>169759.61538461538</v>
      </c>
    </row>
    <row r="1418" spans="1:5" x14ac:dyDescent="0.25">
      <c r="A1418" s="421" t="s">
        <v>388</v>
      </c>
      <c r="B1418" s="412">
        <f>VLOOKUP(B1403,'BANG LUONG 1'!$B$5:$AJ$56,18,0)</f>
        <v>0</v>
      </c>
      <c r="C1418" s="421">
        <v>15</v>
      </c>
      <c r="D1418" s="41">
        <f>(B1411/26*B1418)*3</f>
        <v>0</v>
      </c>
    </row>
    <row r="1419" spans="1:5" x14ac:dyDescent="0.25">
      <c r="A1419" s="421" t="s">
        <v>533</v>
      </c>
      <c r="B1419" s="412">
        <f>VLOOKUP(B1403,'BANG LUONG 1'!$B$5:$AJ$56,19,0)</f>
        <v>7745282.451923077</v>
      </c>
      <c r="C1419" s="183">
        <v>16</v>
      </c>
      <c r="D1419" s="185">
        <f>B1413+D1415+D1416+D1414+D1418+D1417</f>
        <v>7745282.451923077</v>
      </c>
      <c r="E1419" s="108"/>
    </row>
    <row r="1420" spans="1:5" x14ac:dyDescent="0.25">
      <c r="A1420" s="421" t="s">
        <v>535</v>
      </c>
      <c r="B1420" s="412">
        <f>VLOOKUP(B1403,'BANG LUONG 1'!$B$5:$AJ$56,20,0)</f>
        <v>5859807.2998430151</v>
      </c>
      <c r="C1420" s="421">
        <v>17</v>
      </c>
      <c r="D1420" s="41"/>
    </row>
    <row r="1421" spans="1:5" x14ac:dyDescent="0.25">
      <c r="A1421" s="421" t="s">
        <v>370</v>
      </c>
      <c r="B1421" s="412">
        <f>VLOOKUP(B1403,'BANG LUONG 1'!$B$5:$AJ$56,22,0)</f>
        <v>0</v>
      </c>
      <c r="C1421" s="421">
        <v>18</v>
      </c>
      <c r="D1421" s="41"/>
    </row>
    <row r="1422" spans="1:5" x14ac:dyDescent="0.25">
      <c r="A1422" s="421" t="s">
        <v>371</v>
      </c>
      <c r="B1422" s="412">
        <f>VLOOKUP(B1403,'BANG LUONG 1'!$B$5:$AJ$56,23,0)</f>
        <v>300000</v>
      </c>
      <c r="C1422" s="421">
        <v>19</v>
      </c>
      <c r="D1422" s="41"/>
    </row>
    <row r="1423" spans="1:5" x14ac:dyDescent="0.25">
      <c r="A1423" s="421" t="s">
        <v>560</v>
      </c>
      <c r="B1423" s="412">
        <f>VLOOKUP(B1403,'BANG LUONG 1'!$B$5:$AJ$56,24,0)</f>
        <v>0</v>
      </c>
      <c r="C1423" s="421">
        <v>22</v>
      </c>
      <c r="D1423" s="41"/>
    </row>
    <row r="1424" spans="1:5" x14ac:dyDescent="0.25">
      <c r="A1424" s="183" t="s">
        <v>237</v>
      </c>
      <c r="B1424" s="415">
        <f>VLOOKUP(B1403,'BANG LUONG 1'!$B$5:$AJ$56,26,0)</f>
        <v>13905089.751766093</v>
      </c>
      <c r="C1424" s="421">
        <v>24</v>
      </c>
      <c r="D1424" s="41"/>
    </row>
    <row r="1425" spans="1:5" x14ac:dyDescent="0.25">
      <c r="A1425" s="421" t="s">
        <v>545</v>
      </c>
      <c r="B1425" s="412">
        <f>VLOOKUP(B1403,'BANG LUONG 1'!$B$5:$AJ$56,27,0)</f>
        <v>4000000</v>
      </c>
      <c r="C1425" s="421">
        <v>25</v>
      </c>
      <c r="D1425" s="41"/>
    </row>
    <row r="1426" spans="1:5" x14ac:dyDescent="0.25">
      <c r="A1426" s="421" t="s">
        <v>544</v>
      </c>
      <c r="B1426" s="412">
        <f>VLOOKUP(B1403,'BANG LUONG 1'!$B$5:$AJ$56,28,0)</f>
        <v>480585</v>
      </c>
      <c r="C1426" s="421">
        <v>26</v>
      </c>
      <c r="D1426" s="41"/>
    </row>
    <row r="1427" spans="1:5" x14ac:dyDescent="0.25">
      <c r="A1427" s="421" t="s">
        <v>712</v>
      </c>
      <c r="B1427" s="415">
        <f>VLOOKUP(B1403,'BANG LUONG 1'!$B$5:$AJ$56,32,0)</f>
        <v>0</v>
      </c>
      <c r="C1427" s="421"/>
      <c r="D1427" s="41"/>
    </row>
    <row r="1428" spans="1:5" x14ac:dyDescent="0.25">
      <c r="A1428" s="421" t="s">
        <v>713</v>
      </c>
      <c r="B1428" s="415">
        <f>VLOOKUP(B1403,'BANG LUONG 1'!$B$5:$AJ$56,33,0)</f>
        <v>396000</v>
      </c>
      <c r="C1428" s="421"/>
      <c r="D1428" s="41"/>
    </row>
    <row r="1429" spans="1:5" x14ac:dyDescent="0.25">
      <c r="A1429" s="183" t="s">
        <v>707</v>
      </c>
      <c r="B1429" s="415">
        <f>VLOOKUP(B1403,'BANG LUONG 1'!$B$5:$AJ$56,34,0)</f>
        <v>0</v>
      </c>
      <c r="C1429" s="421"/>
      <c r="D1429" s="41"/>
      <c r="E1429" s="108" t="str">
        <f>B1404</f>
        <v>Châu Văn Tâm</v>
      </c>
    </row>
    <row r="1430" spans="1:5" x14ac:dyDescent="0.25">
      <c r="A1430" s="183" t="s">
        <v>546</v>
      </c>
      <c r="B1430" s="415">
        <f>VLOOKUP(B1403,'BANG LUONG 1'!$B$5:$AJ$56,35,0)</f>
        <v>9921000</v>
      </c>
      <c r="C1430" s="421"/>
      <c r="D1430" s="41"/>
    </row>
    <row r="1431" spans="1:5" x14ac:dyDescent="0.25">
      <c r="A1431" s="183"/>
      <c r="B1431" s="412"/>
      <c r="C1431" s="421">
        <v>27</v>
      </c>
      <c r="D1431" s="185"/>
    </row>
    <row r="1432" spans="1:5" x14ac:dyDescent="0.25">
      <c r="A1432" s="184" t="s">
        <v>549</v>
      </c>
      <c r="B1432" s="424">
        <f>'BANG LUONG 1'!$P$3</f>
        <v>43733</v>
      </c>
    </row>
    <row r="1433" spans="1:5" x14ac:dyDescent="0.25">
      <c r="A1433" s="183" t="s">
        <v>1</v>
      </c>
      <c r="B1433" s="185" t="s">
        <v>143</v>
      </c>
      <c r="C1433" s="421">
        <v>1</v>
      </c>
      <c r="D1433" s="41"/>
    </row>
    <row r="1434" spans="1:5" x14ac:dyDescent="0.25">
      <c r="A1434" s="183" t="s">
        <v>2</v>
      </c>
      <c r="B1434" s="185" t="str">
        <f>VLOOKUP($B1433,'BANG LUONG 1'!$B$6:$AB$48,C1434,0)</f>
        <v>Trần Ngọc Sơn</v>
      </c>
      <c r="C1434" s="421">
        <v>2</v>
      </c>
      <c r="D1434" s="41"/>
    </row>
    <row r="1435" spans="1:5" x14ac:dyDescent="0.25">
      <c r="A1435" s="421" t="s">
        <v>3</v>
      </c>
      <c r="B1435" s="41" t="str">
        <f>VLOOKUP($B1433,'BANG LUONG 1'!$B$6:$AJ$48,C1435,0)</f>
        <v>Lái xe cơ giới</v>
      </c>
      <c r="C1435" s="421">
        <v>3</v>
      </c>
      <c r="D1435" s="41"/>
    </row>
    <row r="1436" spans="1:5" x14ac:dyDescent="0.25">
      <c r="A1436" s="421" t="s">
        <v>376</v>
      </c>
      <c r="B1436" s="410">
        <f>VLOOKUP($B1433,'BANG LUONG 1'!$B$5:$AJ$56,4,0)</f>
        <v>43248</v>
      </c>
      <c r="C1436" s="421">
        <v>4</v>
      </c>
      <c r="D1436" s="41"/>
    </row>
    <row r="1437" spans="1:5" x14ac:dyDescent="0.25">
      <c r="A1437" s="421" t="s">
        <v>698</v>
      </c>
      <c r="B1437" s="411">
        <f>VLOOKUP(B1433,'BANG LUONG 1'!$B$5:$AJ$56,6,0)</f>
        <v>0</v>
      </c>
      <c r="C1437" s="421">
        <v>5</v>
      </c>
      <c r="D1437" s="41"/>
    </row>
    <row r="1438" spans="1:5" x14ac:dyDescent="0.25">
      <c r="A1438" s="421" t="s">
        <v>229</v>
      </c>
      <c r="B1438" s="412">
        <f>'thang luong moi'!$F$5</f>
        <v>4012500</v>
      </c>
      <c r="C1438" s="421">
        <v>6</v>
      </c>
      <c r="D1438" s="41"/>
    </row>
    <row r="1439" spans="1:5" x14ac:dyDescent="0.25">
      <c r="A1439" s="421" t="s">
        <v>217</v>
      </c>
      <c r="B1439" s="412" t="str">
        <f>VLOOKUP(B1433,'BANG LUONG 1'!$B$5:$AJ$56,8,0)</f>
        <v>B.02</v>
      </c>
      <c r="C1439" s="421">
        <v>7</v>
      </c>
      <c r="D1439" s="41"/>
    </row>
    <row r="1440" spans="1:5" x14ac:dyDescent="0.25">
      <c r="A1440" s="421" t="s">
        <v>230</v>
      </c>
      <c r="B1440" s="412">
        <f>VLOOKUP(B1433,'BANG LUONG 1'!$B$5:$AJ$56,9,0)</f>
        <v>1</v>
      </c>
      <c r="C1440" s="421">
        <v>8</v>
      </c>
      <c r="D1440" s="41"/>
    </row>
    <row r="1441" spans="1:5" x14ac:dyDescent="0.25">
      <c r="A1441" s="421" t="s">
        <v>538</v>
      </c>
      <c r="B1441" s="412">
        <f>VLOOKUP(B1433,'BANG LUONG 1'!$B$5:$AJ$56,11,0)</f>
        <v>4413750</v>
      </c>
      <c r="C1441" s="421">
        <v>9</v>
      </c>
      <c r="D1441" s="41"/>
    </row>
    <row r="1442" spans="1:5" x14ac:dyDescent="0.25">
      <c r="A1442" s="421" t="s">
        <v>354</v>
      </c>
      <c r="B1442" s="412">
        <f>VLOOKUP(B1433,'BANG LUONG 1'!$B$5:$AJ$56,12,0)</f>
        <v>26</v>
      </c>
      <c r="C1442" s="421">
        <v>10</v>
      </c>
      <c r="D1442" s="41"/>
    </row>
    <row r="1443" spans="1:5" x14ac:dyDescent="0.25">
      <c r="A1443" s="421" t="s">
        <v>534</v>
      </c>
      <c r="B1443" s="412">
        <f>VLOOKUP(B1433,'BANG LUONG 1'!$B$5:$AJ$56,13,0)</f>
        <v>4413750</v>
      </c>
      <c r="C1443" s="421">
        <v>11</v>
      </c>
      <c r="D1443" s="41"/>
    </row>
    <row r="1444" spans="1:5" x14ac:dyDescent="0.25">
      <c r="A1444" s="421" t="s">
        <v>592</v>
      </c>
      <c r="B1444" s="412">
        <f>VLOOKUP(B1433,'BANG LUONG 1'!$B$5:$AJ$56,14,0)</f>
        <v>0</v>
      </c>
      <c r="C1444" s="421">
        <v>12</v>
      </c>
      <c r="D1444" s="41">
        <f>B1441/26*B1444</f>
        <v>0</v>
      </c>
    </row>
    <row r="1445" spans="1:5" x14ac:dyDescent="0.25">
      <c r="A1445" s="421" t="s">
        <v>357</v>
      </c>
      <c r="B1445" s="412">
        <f>VLOOKUP(B1433,'BANG LUONG 1'!$B$5:$AJ$56,15,0)</f>
        <v>30.5</v>
      </c>
      <c r="C1445" s="421">
        <v>13</v>
      </c>
      <c r="D1445" s="41">
        <f>B1441/26/8*1.5*B1445</f>
        <v>970812.80048076913</v>
      </c>
    </row>
    <row r="1446" spans="1:5" x14ac:dyDescent="0.25">
      <c r="A1446" s="421" t="s">
        <v>387</v>
      </c>
      <c r="B1446" s="412">
        <f>VLOOKUP(B1433,'BANG LUONG 1'!$B$5:$AJ$56,16,0)</f>
        <v>24</v>
      </c>
      <c r="C1446" s="421">
        <v>14</v>
      </c>
      <c r="D1446" s="41">
        <f>B1441/26/8*2*B1446</f>
        <v>1018557.6923076923</v>
      </c>
    </row>
    <row r="1447" spans="1:5" x14ac:dyDescent="0.25">
      <c r="A1447" s="421" t="s">
        <v>593</v>
      </c>
      <c r="B1447" s="412">
        <f>VLOOKUP(B1433,'BANG LUONG 1'!$B$5:$AJ$56,17,0)</f>
        <v>1</v>
      </c>
      <c r="C1447" s="421"/>
      <c r="D1447" s="41">
        <f>(B1441/26)*B1447</f>
        <v>169759.61538461538</v>
      </c>
    </row>
    <row r="1448" spans="1:5" x14ac:dyDescent="0.25">
      <c r="A1448" s="421" t="s">
        <v>388</v>
      </c>
      <c r="B1448" s="412">
        <f>VLOOKUP(B1433,'BANG LUONG 1'!$B$5:$AJ$56,18,0)</f>
        <v>0</v>
      </c>
      <c r="C1448" s="421">
        <v>15</v>
      </c>
      <c r="D1448" s="41">
        <f>(B1441/26*B1448)*3</f>
        <v>0</v>
      </c>
    </row>
    <row r="1449" spans="1:5" x14ac:dyDescent="0.25">
      <c r="A1449" s="421" t="s">
        <v>533</v>
      </c>
      <c r="B1449" s="412">
        <f>VLOOKUP(B1433,'BANG LUONG 1'!$B$5:$AJ$56,19,0)</f>
        <v>6572880.1081730761</v>
      </c>
      <c r="C1449" s="183">
        <v>16</v>
      </c>
      <c r="D1449" s="185">
        <f>B1443+D1445+D1446+D1444+D1448+D1447</f>
        <v>6572880.1081730761</v>
      </c>
      <c r="E1449" s="108"/>
    </row>
    <row r="1450" spans="1:5" x14ac:dyDescent="0.25">
      <c r="A1450" s="421" t="s">
        <v>535</v>
      </c>
      <c r="B1450" s="412">
        <f>VLOOKUP(B1433,'BANG LUONG 1'!$B$5:$AJ$56,20,0)</f>
        <v>1521228.0219780235</v>
      </c>
      <c r="C1450" s="421">
        <v>17</v>
      </c>
      <c r="D1450" s="41"/>
    </row>
    <row r="1451" spans="1:5" x14ac:dyDescent="0.25">
      <c r="A1451" s="421" t="s">
        <v>370</v>
      </c>
      <c r="B1451" s="412">
        <f>VLOOKUP(B1433,'BANG LUONG 1'!$B$5:$AJ$56,22,0)</f>
        <v>0</v>
      </c>
      <c r="C1451" s="421">
        <v>18</v>
      </c>
      <c r="D1451" s="41"/>
    </row>
    <row r="1452" spans="1:5" x14ac:dyDescent="0.25">
      <c r="A1452" s="421" t="s">
        <v>371</v>
      </c>
      <c r="B1452" s="412">
        <f>VLOOKUP(B1433,'BANG LUONG 1'!$B$5:$AJ$56,23,0)</f>
        <v>300000</v>
      </c>
      <c r="C1452" s="421">
        <v>19</v>
      </c>
      <c r="D1452" s="41"/>
    </row>
    <row r="1453" spans="1:5" x14ac:dyDescent="0.25">
      <c r="A1453" s="421" t="s">
        <v>560</v>
      </c>
      <c r="B1453" s="412">
        <f>VLOOKUP(B1433,'BANG LUONG 1'!$B$5:$AJ$56,24,0)</f>
        <v>0</v>
      </c>
      <c r="C1453" s="421">
        <v>22</v>
      </c>
      <c r="D1453" s="41"/>
    </row>
    <row r="1454" spans="1:5" x14ac:dyDescent="0.25">
      <c r="A1454" s="183" t="s">
        <v>237</v>
      </c>
      <c r="B1454" s="415">
        <f>VLOOKUP(B1433,'BANG LUONG 1'!$B$5:$AJ$56,26,0)</f>
        <v>8394108.1301511005</v>
      </c>
      <c r="C1454" s="421">
        <v>24</v>
      </c>
      <c r="D1454" s="41"/>
    </row>
    <row r="1455" spans="1:5" x14ac:dyDescent="0.25">
      <c r="A1455" s="421" t="s">
        <v>545</v>
      </c>
      <c r="B1455" s="412">
        <f>VLOOKUP(B1433,'BANG LUONG 1'!$B$5:$AJ$56,27,0)</f>
        <v>3000000</v>
      </c>
      <c r="C1455" s="421">
        <v>25</v>
      </c>
      <c r="D1455" s="41"/>
    </row>
    <row r="1456" spans="1:5" x14ac:dyDescent="0.25">
      <c r="A1456" s="421" t="s">
        <v>544</v>
      </c>
      <c r="B1456" s="412">
        <f>VLOOKUP(B1433,'BANG LUONG 1'!$B$5:$AJ$56,28,0)</f>
        <v>480585</v>
      </c>
      <c r="C1456" s="421">
        <v>26</v>
      </c>
      <c r="D1456" s="41"/>
    </row>
    <row r="1457" spans="1:7" x14ac:dyDescent="0.25">
      <c r="A1457" s="421" t="s">
        <v>712</v>
      </c>
      <c r="B1457" s="415">
        <f>VLOOKUP(B1433,'BANG LUONG 1'!$B$5:$AJ$56,32,0)</f>
        <v>0</v>
      </c>
      <c r="C1457" s="421"/>
      <c r="D1457" s="41"/>
    </row>
    <row r="1458" spans="1:7" x14ac:dyDescent="0.25">
      <c r="A1458" s="421" t="s">
        <v>713</v>
      </c>
      <c r="B1458" s="415">
        <f>VLOOKUP(B1433,'BANG LUONG 1'!$B$5:$AJ$56,33,0)</f>
        <v>110000</v>
      </c>
      <c r="C1458" s="421"/>
      <c r="D1458" s="41"/>
    </row>
    <row r="1459" spans="1:7" x14ac:dyDescent="0.25">
      <c r="A1459" s="183" t="s">
        <v>707</v>
      </c>
      <c r="B1459" s="415">
        <f>VLOOKUP(B1433,'BANG LUONG 1'!$B$5:$AJ$56,34,0)</f>
        <v>0</v>
      </c>
      <c r="C1459" s="421"/>
      <c r="D1459" s="41"/>
      <c r="E1459" s="108" t="str">
        <f>B1434</f>
        <v>Trần Ngọc Sơn</v>
      </c>
    </row>
    <row r="1460" spans="1:7" x14ac:dyDescent="0.25">
      <c r="A1460" s="183" t="s">
        <v>546</v>
      </c>
      <c r="B1460" s="415">
        <f>VLOOKUP(B1433,'BANG LUONG 1'!$B$5:$AJ$56,35,0)</f>
        <v>5124000</v>
      </c>
      <c r="C1460" s="421"/>
      <c r="D1460" s="41"/>
    </row>
    <row r="1461" spans="1:7" x14ac:dyDescent="0.25">
      <c r="A1461" s="183"/>
      <c r="B1461" s="412"/>
      <c r="C1461" s="421">
        <v>27</v>
      </c>
      <c r="D1461" s="185"/>
    </row>
    <row r="1462" spans="1:7" x14ac:dyDescent="0.25">
      <c r="A1462" s="184" t="s">
        <v>549</v>
      </c>
      <c r="B1462" s="424">
        <f>'BANG LUONG 1'!$P$3</f>
        <v>43733</v>
      </c>
    </row>
    <row r="1463" spans="1:7" x14ac:dyDescent="0.25">
      <c r="A1463" s="183" t="s">
        <v>1</v>
      </c>
      <c r="B1463" s="185" t="s">
        <v>143</v>
      </c>
      <c r="C1463" s="421">
        <v>1</v>
      </c>
      <c r="D1463" s="41"/>
    </row>
    <row r="1464" spans="1:7" x14ac:dyDescent="0.25">
      <c r="A1464" s="183" t="s">
        <v>2</v>
      </c>
      <c r="B1464" s="185" t="str">
        <f>VLOOKUP($B1463,'BANG LUONG 1'!$B$6:$AB$48,C1464,0)</f>
        <v>Trần Ngọc Sơn</v>
      </c>
      <c r="C1464" s="421">
        <v>2</v>
      </c>
      <c r="D1464" s="41"/>
    </row>
    <row r="1465" spans="1:7" x14ac:dyDescent="0.25">
      <c r="A1465" s="421" t="s">
        <v>3</v>
      </c>
      <c r="B1465" s="41" t="str">
        <f>VLOOKUP($B1463,'BANG LUONG 1'!$B$6:$AJ$48,C1465,0)</f>
        <v>Lái xe cơ giới</v>
      </c>
      <c r="C1465" s="421">
        <v>3</v>
      </c>
      <c r="D1465" s="41"/>
    </row>
    <row r="1466" spans="1:7" x14ac:dyDescent="0.25">
      <c r="A1466" s="421" t="s">
        <v>376</v>
      </c>
      <c r="B1466" s="410">
        <f>VLOOKUP($B1463,'BANG LUONG 1'!$B$5:$AJ$56,4,0)</f>
        <v>43248</v>
      </c>
      <c r="C1466" s="421">
        <v>4</v>
      </c>
      <c r="D1466" s="41"/>
    </row>
    <row r="1467" spans="1:7" x14ac:dyDescent="0.25">
      <c r="A1467" s="421" t="s">
        <v>698</v>
      </c>
      <c r="B1467" s="411">
        <f>VLOOKUP(B1463,'BANG LUONG 1'!$B$5:$AJ$56,6,0)</f>
        <v>0</v>
      </c>
      <c r="C1467" s="421">
        <v>5</v>
      </c>
      <c r="D1467" s="41"/>
    </row>
    <row r="1468" spans="1:7" x14ac:dyDescent="0.25">
      <c r="A1468" s="421" t="s">
        <v>229</v>
      </c>
      <c r="B1468" s="412">
        <f>'thang luong moi'!$F$5</f>
        <v>4012500</v>
      </c>
      <c r="C1468" s="421">
        <v>6</v>
      </c>
      <c r="D1468" s="41"/>
    </row>
    <row r="1469" spans="1:7" x14ac:dyDescent="0.25">
      <c r="A1469" s="421" t="s">
        <v>217</v>
      </c>
      <c r="B1469" s="412" t="str">
        <f>VLOOKUP(B1463,'BANG LUONG 1'!$B$5:$AJ$56,8,0)</f>
        <v>B.02</v>
      </c>
      <c r="C1469" s="421">
        <v>7</v>
      </c>
      <c r="D1469" s="41"/>
    </row>
    <row r="1470" spans="1:7" x14ac:dyDescent="0.25">
      <c r="A1470" s="421" t="s">
        <v>230</v>
      </c>
      <c r="B1470" s="412">
        <f>VLOOKUP(B1463,'BANG LUONG 1'!$B$5:$AJ$56,9,0)</f>
        <v>1</v>
      </c>
      <c r="C1470" s="421">
        <v>8</v>
      </c>
      <c r="D1470" s="41"/>
    </row>
    <row r="1471" spans="1:7" x14ac:dyDescent="0.25">
      <c r="A1471" s="421" t="s">
        <v>538</v>
      </c>
      <c r="B1471" s="412">
        <f>VLOOKUP(B1463,'BANG LUONG 1'!$B$5:$AJ$56,11,0)</f>
        <v>4413750</v>
      </c>
      <c r="C1471" s="421">
        <v>9</v>
      </c>
      <c r="D1471" s="41"/>
    </row>
    <row r="1472" spans="1:7" x14ac:dyDescent="0.25">
      <c r="A1472" s="421" t="s">
        <v>354</v>
      </c>
      <c r="B1472" s="412">
        <f>VLOOKUP(B1463,'BANG LUONG 1'!$B$5:$AJ$56,12,0)</f>
        <v>26</v>
      </c>
      <c r="C1472" s="421">
        <v>10</v>
      </c>
      <c r="D1472" s="41"/>
      <c r="E1472" s="997"/>
      <c r="F1472" s="998"/>
      <c r="G1472" s="998"/>
    </row>
    <row r="1473" spans="1:7" x14ac:dyDescent="0.25">
      <c r="A1473" s="421" t="s">
        <v>534</v>
      </c>
      <c r="B1473" s="412">
        <f>VLOOKUP(B1463,'BANG LUONG 1'!$B$5:$AJ$56,13,0)</f>
        <v>4413750</v>
      </c>
      <c r="C1473" s="421">
        <v>11</v>
      </c>
      <c r="D1473" s="41"/>
      <c r="E1473" s="647"/>
      <c r="F1473" s="647"/>
      <c r="G1473" s="647"/>
    </row>
    <row r="1474" spans="1:7" x14ac:dyDescent="0.25">
      <c r="A1474" s="421" t="s">
        <v>592</v>
      </c>
      <c r="B1474" s="412">
        <f>VLOOKUP(B1463,'BANG LUONG 1'!$B$5:$AJ$56,14,0)</f>
        <v>0</v>
      </c>
      <c r="C1474" s="421">
        <v>12</v>
      </c>
      <c r="D1474" s="41">
        <f>B1471/26*B1474</f>
        <v>0</v>
      </c>
      <c r="E1474" s="647"/>
      <c r="F1474" s="647"/>
      <c r="G1474" s="647"/>
    </row>
    <row r="1475" spans="1:7" x14ac:dyDescent="0.25">
      <c r="A1475" s="421" t="s">
        <v>357</v>
      </c>
      <c r="B1475" s="412">
        <f>VLOOKUP(B1463,'BANG LUONG 1'!$B$5:$AJ$56,15,0)</f>
        <v>30.5</v>
      </c>
      <c r="C1475" s="421">
        <v>13</v>
      </c>
      <c r="D1475" s="41">
        <f>B1471/26/8*1.5*B1475</f>
        <v>970812.80048076913</v>
      </c>
      <c r="E1475" s="524"/>
      <c r="F1475" s="524"/>
      <c r="G1475" s="524"/>
    </row>
    <row r="1476" spans="1:7" x14ac:dyDescent="0.25">
      <c r="A1476" s="421" t="s">
        <v>387</v>
      </c>
      <c r="B1476" s="412">
        <f>VLOOKUP(B1463,'BANG LUONG 1'!$B$5:$AJ$56,16,0)</f>
        <v>24</v>
      </c>
      <c r="C1476" s="421">
        <v>14</v>
      </c>
      <c r="D1476" s="41">
        <f>B1471/26/8*2*B1476</f>
        <v>1018557.6923076923</v>
      </c>
      <c r="E1476" s="647"/>
      <c r="F1476" s="647"/>
      <c r="G1476" s="647"/>
    </row>
    <row r="1477" spans="1:7" x14ac:dyDescent="0.25">
      <c r="A1477" s="421" t="s">
        <v>593</v>
      </c>
      <c r="B1477" s="412">
        <f>VLOOKUP(B1463,'BANG LUONG 1'!$B$5:$AJ$56,17,0)</f>
        <v>1</v>
      </c>
      <c r="C1477" s="421"/>
      <c r="D1477" s="41">
        <f>(B1471/26)*B1477</f>
        <v>169759.61538461538</v>
      </c>
      <c r="E1477" s="647"/>
      <c r="F1477" s="647"/>
      <c r="G1477" s="647"/>
    </row>
    <row r="1478" spans="1:7" x14ac:dyDescent="0.25">
      <c r="A1478" s="421" t="s">
        <v>388</v>
      </c>
      <c r="B1478" s="412">
        <f>VLOOKUP(B1463,'BANG LUONG 1'!$B$5:$AJ$56,18,0)</f>
        <v>0</v>
      </c>
      <c r="C1478" s="421">
        <v>15</v>
      </c>
      <c r="D1478" s="41">
        <f>(B1471/26*B1478)*3</f>
        <v>0</v>
      </c>
      <c r="E1478" s="524"/>
      <c r="F1478" s="524"/>
      <c r="G1478" s="524"/>
    </row>
    <row r="1479" spans="1:7" x14ac:dyDescent="0.25">
      <c r="A1479" s="421" t="s">
        <v>533</v>
      </c>
      <c r="B1479" s="412">
        <f>VLOOKUP(B1463,'BANG LUONG 1'!$B$5:$AJ$56,19,0)</f>
        <v>6572880.1081730761</v>
      </c>
      <c r="C1479" s="183">
        <v>16</v>
      </c>
      <c r="D1479" s="185">
        <f>B1473+D1475+D1476+D1474+D1478+D1477</f>
        <v>6572880.1081730761</v>
      </c>
      <c r="E1479" s="648"/>
      <c r="F1479" s="647"/>
      <c r="G1479" s="524"/>
    </row>
    <row r="1480" spans="1:7" x14ac:dyDescent="0.25">
      <c r="A1480" s="421" t="s">
        <v>535</v>
      </c>
      <c r="B1480" s="412">
        <f>VLOOKUP(B1463,'BANG LUONG 1'!$B$5:$AJ$56,20,0)</f>
        <v>1521228.0219780235</v>
      </c>
      <c r="C1480" s="421">
        <v>17</v>
      </c>
      <c r="D1480" s="646"/>
      <c r="E1480" s="524"/>
      <c r="F1480" s="647"/>
      <c r="G1480" s="524"/>
    </row>
    <row r="1481" spans="1:7" x14ac:dyDescent="0.25">
      <c r="A1481" s="421" t="s">
        <v>370</v>
      </c>
      <c r="B1481" s="412">
        <f>VLOOKUP(B1463,'BANG LUONG 1'!$B$5:$AJ$56,22,0)</f>
        <v>0</v>
      </c>
      <c r="C1481" s="421">
        <v>18</v>
      </c>
      <c r="D1481" s="41"/>
    </row>
    <row r="1482" spans="1:7" x14ac:dyDescent="0.25">
      <c r="A1482" s="421" t="s">
        <v>371</v>
      </c>
      <c r="B1482" s="412">
        <f>VLOOKUP(B1463,'BANG LUONG 1'!$B$5:$AJ$56,23,0)</f>
        <v>300000</v>
      </c>
      <c r="C1482" s="421">
        <v>19</v>
      </c>
      <c r="D1482" s="41"/>
    </row>
    <row r="1483" spans="1:7" x14ac:dyDescent="0.25">
      <c r="A1483" s="421" t="s">
        <v>560</v>
      </c>
      <c r="B1483" s="412">
        <f>VLOOKUP(B1463,'BANG LUONG 1'!$B$5:$AJ$56,24,0)</f>
        <v>0</v>
      </c>
      <c r="C1483" s="421">
        <v>22</v>
      </c>
      <c r="D1483" s="41"/>
    </row>
    <row r="1484" spans="1:7" x14ac:dyDescent="0.25">
      <c r="A1484" s="183" t="s">
        <v>237</v>
      </c>
      <c r="B1484" s="415">
        <f>VLOOKUP(B1463,'BANG LUONG 1'!$B$5:$AJ$56,26,0)</f>
        <v>8394108.1301511005</v>
      </c>
      <c r="C1484" s="421">
        <v>24</v>
      </c>
      <c r="D1484" s="41"/>
    </row>
    <row r="1485" spans="1:7" x14ac:dyDescent="0.25">
      <c r="A1485" s="421" t="s">
        <v>545</v>
      </c>
      <c r="B1485" s="412">
        <f>VLOOKUP(B1463,'BANG LUONG 1'!$B$5:$AJ$56,27,0)</f>
        <v>3000000</v>
      </c>
      <c r="C1485" s="421">
        <v>25</v>
      </c>
      <c r="D1485" s="41"/>
    </row>
    <row r="1486" spans="1:7" x14ac:dyDescent="0.25">
      <c r="A1486" s="421" t="s">
        <v>544</v>
      </c>
      <c r="B1486" s="412">
        <f>VLOOKUP(B1463,'BANG LUONG 1'!$B$5:$AJ$56,28,0)</f>
        <v>480585</v>
      </c>
      <c r="C1486" s="421">
        <v>26</v>
      </c>
      <c r="D1486" s="41"/>
      <c r="E1486" s="523"/>
    </row>
    <row r="1487" spans="1:7" x14ac:dyDescent="0.25">
      <c r="A1487" s="421" t="s">
        <v>712</v>
      </c>
      <c r="B1487" s="415">
        <f>VLOOKUP(B1463,'BANG LUONG 1'!$B$5:$AJ$56,32,0)</f>
        <v>0</v>
      </c>
      <c r="C1487" s="421"/>
      <c r="D1487" s="41"/>
    </row>
    <row r="1488" spans="1:7" x14ac:dyDescent="0.25">
      <c r="A1488" s="421" t="s">
        <v>713</v>
      </c>
      <c r="B1488" s="415">
        <f>VLOOKUP(B1463,'BANG LUONG 1'!$B$5:$AJ$56,33,0)</f>
        <v>110000</v>
      </c>
      <c r="C1488" s="421"/>
      <c r="D1488" s="41"/>
    </row>
    <row r="1489" spans="1:7" x14ac:dyDescent="0.25">
      <c r="A1489" s="183" t="s">
        <v>707</v>
      </c>
      <c r="B1489" s="415">
        <f>VLOOKUP(B1463,'BANG LUONG 1'!$B$5:$AJ$56,34,0)</f>
        <v>0</v>
      </c>
      <c r="C1489" s="421"/>
      <c r="D1489" s="41"/>
      <c r="E1489" s="108" t="str">
        <f>B1464</f>
        <v>Trần Ngọc Sơn</v>
      </c>
    </row>
    <row r="1490" spans="1:7" x14ac:dyDescent="0.25">
      <c r="A1490" s="183" t="s">
        <v>546</v>
      </c>
      <c r="B1490" s="415">
        <f>VLOOKUP(B1463,'BANG LUONG 1'!$B$5:$AJ$56,35,0)</f>
        <v>5124000</v>
      </c>
      <c r="C1490" s="421"/>
      <c r="D1490" s="41"/>
    </row>
    <row r="1491" spans="1:7" x14ac:dyDescent="0.25">
      <c r="A1491" s="183"/>
      <c r="B1491" s="412"/>
      <c r="C1491" s="421">
        <v>27</v>
      </c>
      <c r="D1491" s="185"/>
    </row>
    <row r="1492" spans="1:7" x14ac:dyDescent="0.25">
      <c r="A1492" s="184" t="s">
        <v>549</v>
      </c>
      <c r="B1492" s="424">
        <f>'BANG LUONG 1'!$P$3</f>
        <v>43733</v>
      </c>
    </row>
    <row r="1493" spans="1:7" x14ac:dyDescent="0.25">
      <c r="A1493" s="183" t="s">
        <v>1</v>
      </c>
      <c r="B1493" s="185" t="s">
        <v>144</v>
      </c>
      <c r="C1493" s="421">
        <v>1</v>
      </c>
      <c r="D1493" s="41"/>
    </row>
    <row r="1494" spans="1:7" x14ac:dyDescent="0.25">
      <c r="A1494" s="183" t="s">
        <v>2</v>
      </c>
      <c r="B1494" s="185" t="str">
        <f>VLOOKUP($B1493,'BANG LUONG 1'!$B$6:$AB$48,C1494,0)</f>
        <v>Nguyễn Văn Tuấn</v>
      </c>
      <c r="C1494" s="421">
        <v>2</v>
      </c>
      <c r="D1494" s="41"/>
    </row>
    <row r="1495" spans="1:7" x14ac:dyDescent="0.25">
      <c r="A1495" s="421" t="s">
        <v>3</v>
      </c>
      <c r="B1495" s="41" t="str">
        <f>VLOOKUP($B1493,'BANG LUONG 1'!$B$6:$AJ$48,C1495,0)</f>
        <v>Lái xe cơ giới</v>
      </c>
      <c r="C1495" s="421">
        <v>3</v>
      </c>
      <c r="D1495" s="41"/>
    </row>
    <row r="1496" spans="1:7" x14ac:dyDescent="0.25">
      <c r="A1496" s="421" t="s">
        <v>376</v>
      </c>
      <c r="B1496" s="410">
        <f>VLOOKUP($B1493,'BANG LUONG 1'!$B$5:$AJ$56,4,0)</f>
        <v>43246</v>
      </c>
      <c r="C1496" s="421">
        <v>4</v>
      </c>
      <c r="D1496" s="41"/>
    </row>
    <row r="1497" spans="1:7" x14ac:dyDescent="0.25">
      <c r="A1497" s="421" t="s">
        <v>698</v>
      </c>
      <c r="B1497" s="411">
        <f>VLOOKUP(B1493,'BANG LUONG 1'!$B$5:$AJ$56,6,0)</f>
        <v>0</v>
      </c>
      <c r="C1497" s="421">
        <v>5</v>
      </c>
      <c r="D1497" s="41"/>
    </row>
    <row r="1498" spans="1:7" x14ac:dyDescent="0.25">
      <c r="A1498" s="421" t="s">
        <v>229</v>
      </c>
      <c r="B1498" s="412">
        <f>'thang luong moi'!$F$5</f>
        <v>4012500</v>
      </c>
      <c r="C1498" s="421">
        <v>6</v>
      </c>
      <c r="D1498" s="41"/>
    </row>
    <row r="1499" spans="1:7" x14ac:dyDescent="0.25">
      <c r="A1499" s="421" t="s">
        <v>217</v>
      </c>
      <c r="B1499" s="412" t="str">
        <f>VLOOKUP(B1493,'BANG LUONG 1'!$B$5:$AJ$56,8,0)</f>
        <v>B.02</v>
      </c>
      <c r="C1499" s="421">
        <v>7</v>
      </c>
      <c r="D1499" s="41"/>
    </row>
    <row r="1500" spans="1:7" x14ac:dyDescent="0.25">
      <c r="A1500" s="421" t="s">
        <v>230</v>
      </c>
      <c r="B1500" s="412">
        <f>VLOOKUP(B1493,'BANG LUONG 1'!$B$5:$AJ$56,9,0)</f>
        <v>1</v>
      </c>
      <c r="C1500" s="421">
        <v>8</v>
      </c>
      <c r="D1500" s="41"/>
    </row>
    <row r="1501" spans="1:7" x14ac:dyDescent="0.25">
      <c r="A1501" s="421" t="s">
        <v>538</v>
      </c>
      <c r="B1501" s="412">
        <f>VLOOKUP(B1493,'BANG LUONG 1'!$B$5:$AJ$56,11,0)</f>
        <v>4413750</v>
      </c>
      <c r="C1501" s="421">
        <v>9</v>
      </c>
      <c r="D1501" s="41"/>
    </row>
    <row r="1502" spans="1:7" x14ac:dyDescent="0.25">
      <c r="A1502" s="421" t="s">
        <v>354</v>
      </c>
      <c r="B1502" s="412">
        <f>VLOOKUP(B1493,'BANG LUONG 1'!$B$5:$AJ$56,12,0)</f>
        <v>22</v>
      </c>
      <c r="C1502" s="421">
        <v>10</v>
      </c>
      <c r="D1502" s="41"/>
      <c r="E1502" s="1002"/>
      <c r="F1502" s="1003"/>
      <c r="G1502" s="1003"/>
    </row>
    <row r="1503" spans="1:7" x14ac:dyDescent="0.25">
      <c r="A1503" s="421" t="s">
        <v>534</v>
      </c>
      <c r="B1503" s="412">
        <f>VLOOKUP(B1493,'BANG LUONG 1'!$B$5:$AJ$56,13,0)</f>
        <v>3734711.538461538</v>
      </c>
      <c r="C1503" s="421">
        <v>11</v>
      </c>
      <c r="D1503" s="41"/>
      <c r="E1503" s="519"/>
      <c r="F1503" s="519"/>
      <c r="G1503" s="519"/>
    </row>
    <row r="1504" spans="1:7" x14ac:dyDescent="0.25">
      <c r="A1504" s="421" t="s">
        <v>592</v>
      </c>
      <c r="B1504" s="412">
        <f>VLOOKUP(B1493,'BANG LUONG 1'!$B$5:$AJ$56,14,0)</f>
        <v>4</v>
      </c>
      <c r="C1504" s="421">
        <v>12</v>
      </c>
      <c r="D1504" s="41">
        <f>B1501/26*B1504</f>
        <v>679038.4615384615</v>
      </c>
      <c r="E1504" s="519"/>
      <c r="F1504" s="519"/>
      <c r="G1504" s="519"/>
    </row>
    <row r="1505" spans="1:7" x14ac:dyDescent="0.25">
      <c r="A1505" s="421" t="s">
        <v>357</v>
      </c>
      <c r="B1505" s="412">
        <f>VLOOKUP(B1493,'BANG LUONG 1'!$B$5:$AJ$56,15,0)</f>
        <v>40.650000000000006</v>
      </c>
      <c r="C1505" s="421">
        <v>13</v>
      </c>
      <c r="D1505" s="41">
        <f>B1501/26/8*1.5*B1505</f>
        <v>1293886.5685096155</v>
      </c>
      <c r="E1505" s="183"/>
      <c r="F1505" s="183"/>
      <c r="G1505" s="183"/>
    </row>
    <row r="1506" spans="1:7" x14ac:dyDescent="0.25">
      <c r="A1506" s="421" t="s">
        <v>387</v>
      </c>
      <c r="B1506" s="412">
        <f>VLOOKUP(B1493,'BANG LUONG 1'!$B$5:$AJ$56,16,0)</f>
        <v>24</v>
      </c>
      <c r="C1506" s="421">
        <v>14</v>
      </c>
      <c r="D1506" s="41">
        <f>B1501/26/8*2*B1506</f>
        <v>1018557.6923076923</v>
      </c>
      <c r="E1506" s="519"/>
      <c r="F1506" s="519"/>
      <c r="G1506" s="519"/>
    </row>
    <row r="1507" spans="1:7" x14ac:dyDescent="0.25">
      <c r="A1507" s="421" t="s">
        <v>593</v>
      </c>
      <c r="B1507" s="412">
        <f>VLOOKUP(B1493,'BANG LUONG 1'!$B$5:$AJ$56,17,0)</f>
        <v>1</v>
      </c>
      <c r="C1507" s="421"/>
      <c r="D1507" s="41">
        <f>(B1501/26)*B1507</f>
        <v>169759.61538461538</v>
      </c>
      <c r="E1507" s="519"/>
      <c r="F1507" s="519"/>
      <c r="G1507" s="519"/>
    </row>
    <row r="1508" spans="1:7" x14ac:dyDescent="0.25">
      <c r="A1508" s="421" t="s">
        <v>388</v>
      </c>
      <c r="B1508" s="412">
        <f>VLOOKUP(B1493,'BANG LUONG 1'!$B$5:$AJ$56,18,0)</f>
        <v>0</v>
      </c>
      <c r="C1508" s="421">
        <v>15</v>
      </c>
      <c r="D1508" s="41">
        <f>(B1501/26*B1508)*3</f>
        <v>0</v>
      </c>
      <c r="E1508" s="183"/>
      <c r="F1508" s="183"/>
      <c r="G1508" s="183"/>
    </row>
    <row r="1509" spans="1:7" x14ac:dyDescent="0.25">
      <c r="A1509" s="421" t="s">
        <v>533</v>
      </c>
      <c r="B1509" s="412">
        <f>VLOOKUP(B1493,'BANG LUONG 1'!$B$5:$AJ$56,19,0)</f>
        <v>6895953.876201923</v>
      </c>
      <c r="C1509" s="183">
        <v>16</v>
      </c>
      <c r="D1509" s="185">
        <f>B1503+D1505+D1506+D1504+D1508+D1507</f>
        <v>6895953.876201923</v>
      </c>
      <c r="E1509" s="520"/>
      <c r="F1509" s="519"/>
      <c r="G1509" s="183"/>
    </row>
    <row r="1510" spans="1:7" x14ac:dyDescent="0.25">
      <c r="A1510" s="421" t="s">
        <v>535</v>
      </c>
      <c r="B1510" s="412">
        <f>VLOOKUP(B1493,'BANG LUONG 1'!$B$5:$AJ$56,20,0)</f>
        <v>119693.48508634325</v>
      </c>
      <c r="C1510" s="421">
        <v>17</v>
      </c>
      <c r="D1510" s="41"/>
      <c r="E1510" s="183"/>
      <c r="F1510" s="519"/>
      <c r="G1510" s="183"/>
    </row>
    <row r="1511" spans="1:7" x14ac:dyDescent="0.25">
      <c r="A1511" s="421" t="s">
        <v>370</v>
      </c>
      <c r="B1511" s="412">
        <f>VLOOKUP(B1493,'BANG LUONG 1'!$B$5:$AJ$56,22,0)</f>
        <v>0</v>
      </c>
      <c r="C1511" s="421">
        <v>18</v>
      </c>
      <c r="D1511" s="41"/>
    </row>
    <row r="1512" spans="1:7" x14ac:dyDescent="0.25">
      <c r="A1512" s="421" t="s">
        <v>371</v>
      </c>
      <c r="B1512" s="412">
        <f>VLOOKUP(B1493,'BANG LUONG 1'!$B$5:$AJ$56,23,0)</f>
        <v>75000</v>
      </c>
      <c r="C1512" s="421">
        <v>19</v>
      </c>
      <c r="D1512" s="41"/>
    </row>
    <row r="1513" spans="1:7" x14ac:dyDescent="0.25">
      <c r="A1513" s="421" t="s">
        <v>560</v>
      </c>
      <c r="B1513" s="412">
        <f>VLOOKUP(B1493,'BANG LUONG 1'!$B$5:$AJ$56,24,0)</f>
        <v>0</v>
      </c>
      <c r="C1513" s="421">
        <v>22</v>
      </c>
      <c r="D1513" s="41"/>
    </row>
    <row r="1514" spans="1:7" x14ac:dyDescent="0.25">
      <c r="A1514" s="183" t="s">
        <v>237</v>
      </c>
      <c r="B1514" s="415">
        <f>VLOOKUP(B1493,'BANG LUONG 1'!$B$5:$AJ$56,26,0)</f>
        <v>7090647.3612882663</v>
      </c>
      <c r="C1514" s="421">
        <v>24</v>
      </c>
      <c r="D1514" s="41"/>
    </row>
    <row r="1515" spans="1:7" x14ac:dyDescent="0.25">
      <c r="A1515" s="421" t="s">
        <v>545</v>
      </c>
      <c r="B1515" s="412">
        <f>VLOOKUP(B1493,'BANG LUONG 1'!$B$5:$AJ$56,27,0)</f>
        <v>3000000</v>
      </c>
      <c r="C1515" s="421">
        <v>25</v>
      </c>
      <c r="D1515" s="41"/>
    </row>
    <row r="1516" spans="1:7" x14ac:dyDescent="0.25">
      <c r="A1516" s="421" t="s">
        <v>544</v>
      </c>
      <c r="B1516" s="412">
        <f>VLOOKUP(B1493,'BANG LUONG 1'!$B$5:$AJ$56,28,0)</f>
        <v>480585</v>
      </c>
      <c r="C1516" s="421">
        <v>26</v>
      </c>
      <c r="D1516" s="41"/>
      <c r="E1516" s="523"/>
    </row>
    <row r="1517" spans="1:7" x14ac:dyDescent="0.25">
      <c r="A1517" s="421" t="s">
        <v>712</v>
      </c>
      <c r="B1517" s="415">
        <f>VLOOKUP(B1493,'BANG LUONG 1'!$B$5:$AJ$56,32,0)</f>
        <v>0</v>
      </c>
      <c r="C1517" s="421"/>
      <c r="D1517" s="41"/>
    </row>
    <row r="1518" spans="1:7" x14ac:dyDescent="0.25">
      <c r="A1518" s="421" t="s">
        <v>713</v>
      </c>
      <c r="B1518" s="415">
        <f>VLOOKUP(B1493,'BANG LUONG 1'!$B$5:$AJ$56,33,0)</f>
        <v>242000</v>
      </c>
      <c r="C1518" s="421"/>
      <c r="D1518" s="41"/>
    </row>
    <row r="1519" spans="1:7" x14ac:dyDescent="0.25">
      <c r="A1519" s="183" t="s">
        <v>707</v>
      </c>
      <c r="B1519" s="415">
        <f>VLOOKUP(B1493,'BANG LUONG 1'!$B$5:$AJ$56,34,0)</f>
        <v>0</v>
      </c>
      <c r="C1519" s="421"/>
      <c r="D1519" s="41"/>
      <c r="E1519" s="108" t="str">
        <f>B1494</f>
        <v>Nguyễn Văn Tuấn</v>
      </c>
    </row>
    <row r="1520" spans="1:7" x14ac:dyDescent="0.25">
      <c r="A1520" s="183" t="s">
        <v>546</v>
      </c>
      <c r="B1520" s="415">
        <f>VLOOKUP(B1493,'BANG LUONG 1'!$B$5:$AJ$56,35,0)</f>
        <v>3952000</v>
      </c>
      <c r="C1520" s="421"/>
      <c r="D1520" s="41"/>
    </row>
    <row r="1521" spans="1:4" x14ac:dyDescent="0.25">
      <c r="A1521" s="184" t="s">
        <v>549</v>
      </c>
      <c r="B1521" s="424">
        <f>'BANG LUONG 1'!$P$3</f>
        <v>43733</v>
      </c>
    </row>
    <row r="1522" spans="1:4" x14ac:dyDescent="0.25">
      <c r="A1522" s="183" t="s">
        <v>1</v>
      </c>
      <c r="B1522" s="185" t="s">
        <v>168</v>
      </c>
      <c r="C1522" s="421">
        <v>1</v>
      </c>
      <c r="D1522" s="41"/>
    </row>
    <row r="1523" spans="1:4" x14ac:dyDescent="0.25">
      <c r="A1523" s="183" t="s">
        <v>2</v>
      </c>
      <c r="B1523" s="185" t="str">
        <f>VLOOKUP($B1522,'BANG LUONG 1'!$B$6:$AB$48,C1523,0)</f>
        <v>Nguyễn Văn Chương</v>
      </c>
      <c r="C1523" s="421">
        <v>2</v>
      </c>
      <c r="D1523" s="41"/>
    </row>
    <row r="1524" spans="1:4" x14ac:dyDescent="0.25">
      <c r="A1524" s="421" t="s">
        <v>3</v>
      </c>
      <c r="B1524" s="41" t="str">
        <f>VLOOKUP($B1522,'BANG LUONG 1'!$B$6:$AJ$48,C1524,0)</f>
        <v xml:space="preserve">Công nhân </v>
      </c>
      <c r="C1524" s="421">
        <v>3</v>
      </c>
      <c r="D1524" s="41"/>
    </row>
    <row r="1525" spans="1:4" x14ac:dyDescent="0.25">
      <c r="A1525" s="421" t="s">
        <v>376</v>
      </c>
      <c r="B1525" s="410">
        <f>VLOOKUP($B1522,'BANG LUONG 1'!$B$5:$AJ$56,4,0)</f>
        <v>43697</v>
      </c>
      <c r="C1525" s="421">
        <v>4</v>
      </c>
      <c r="D1525" s="41"/>
    </row>
    <row r="1526" spans="1:4" x14ac:dyDescent="0.25">
      <c r="A1526" s="421" t="s">
        <v>698</v>
      </c>
      <c r="B1526" s="411">
        <f>VLOOKUP(B1522,'BANG LUONG 1'!$B$5:$AJ$56,6,0)</f>
        <v>0</v>
      </c>
      <c r="C1526" s="421">
        <v>5</v>
      </c>
      <c r="D1526" s="41"/>
    </row>
    <row r="1527" spans="1:4" x14ac:dyDescent="0.25">
      <c r="A1527" s="421" t="s">
        <v>229</v>
      </c>
      <c r="B1527" s="412">
        <f>'thang luong moi'!$F$5</f>
        <v>4012500</v>
      </c>
      <c r="C1527" s="421">
        <v>6</v>
      </c>
      <c r="D1527" s="41"/>
    </row>
    <row r="1528" spans="1:4" x14ac:dyDescent="0.25">
      <c r="A1528" s="421" t="s">
        <v>217</v>
      </c>
      <c r="B1528" s="412" t="str">
        <f>VLOOKUP(B1522,'BANG LUONG 1'!$B$5:$AJ$56,8,0)</f>
        <v>B.05</v>
      </c>
      <c r="C1528" s="421">
        <v>7</v>
      </c>
      <c r="D1528" s="41"/>
    </row>
    <row r="1529" spans="1:4" x14ac:dyDescent="0.25">
      <c r="A1529" s="421" t="s">
        <v>230</v>
      </c>
      <c r="B1529" s="412">
        <f>VLOOKUP(B1522,'BANG LUONG 1'!$B$5:$AJ$56,9,0)</f>
        <v>1</v>
      </c>
      <c r="C1529" s="421">
        <v>8</v>
      </c>
      <c r="D1529" s="41"/>
    </row>
    <row r="1530" spans="1:4" x14ac:dyDescent="0.25">
      <c r="A1530" s="421" t="s">
        <v>538</v>
      </c>
      <c r="B1530" s="412">
        <f>VLOOKUP(B1522,'BANG LUONG 1'!$B$5:$AJ$56,11,0)</f>
        <v>4213125</v>
      </c>
      <c r="C1530" s="421">
        <v>9</v>
      </c>
      <c r="D1530" s="41"/>
    </row>
    <row r="1531" spans="1:4" x14ac:dyDescent="0.25">
      <c r="A1531" s="421" t="s">
        <v>354</v>
      </c>
      <c r="B1531" s="412">
        <f>VLOOKUP(B1522,'BANG LUONG 1'!$B$5:$AJ$56,12,0)</f>
        <v>26</v>
      </c>
      <c r="C1531" s="421">
        <v>10</v>
      </c>
      <c r="D1531" s="41"/>
    </row>
    <row r="1532" spans="1:4" x14ac:dyDescent="0.25">
      <c r="A1532" s="421" t="s">
        <v>534</v>
      </c>
      <c r="B1532" s="412">
        <f>VLOOKUP(B1522,'BANG LUONG 1'!$B$5:$AJ$56,13,0)</f>
        <v>4213125</v>
      </c>
      <c r="C1532" s="421">
        <v>11</v>
      </c>
      <c r="D1532" s="41"/>
    </row>
    <row r="1533" spans="1:4" x14ac:dyDescent="0.25">
      <c r="A1533" s="421" t="s">
        <v>592</v>
      </c>
      <c r="B1533" s="412">
        <f>VLOOKUP(B1522,'BANG LUONG 1'!$B$5:$AJ$56,14,0)</f>
        <v>0</v>
      </c>
      <c r="C1533" s="421">
        <v>12</v>
      </c>
      <c r="D1533" s="41">
        <f>B1530/26*B1533</f>
        <v>0</v>
      </c>
    </row>
    <row r="1534" spans="1:4" x14ac:dyDescent="0.25">
      <c r="A1534" s="421" t="s">
        <v>357</v>
      </c>
      <c r="B1534" s="412">
        <f>VLOOKUP(B1522,'BANG LUONG 1'!$B$5:$AJ$56,15,0)</f>
        <v>0</v>
      </c>
      <c r="C1534" s="421">
        <v>13</v>
      </c>
      <c r="D1534" s="41">
        <f>B1530/26/8*1.5*B1534</f>
        <v>0</v>
      </c>
    </row>
    <row r="1535" spans="1:4" x14ac:dyDescent="0.25">
      <c r="A1535" s="421" t="s">
        <v>387</v>
      </c>
      <c r="B1535" s="412">
        <f>VLOOKUP(B1522,'BANG LUONG 1'!$B$5:$AJ$56,16,0)</f>
        <v>24</v>
      </c>
      <c r="C1535" s="421">
        <v>14</v>
      </c>
      <c r="D1535" s="41">
        <f>B1530/26/8*2*B1535</f>
        <v>972259.61538461526</v>
      </c>
    </row>
    <row r="1536" spans="1:4" x14ac:dyDescent="0.25">
      <c r="A1536" s="421" t="s">
        <v>593</v>
      </c>
      <c r="B1536" s="412">
        <f>VLOOKUP(B1522,'BANG LUONG 1'!$B$5:$AJ$56,17,0)</f>
        <v>1</v>
      </c>
      <c r="C1536" s="421"/>
      <c r="D1536" s="41">
        <f>(B1530/26)*B1536</f>
        <v>162043.26923076922</v>
      </c>
    </row>
    <row r="1537" spans="1:5" x14ac:dyDescent="0.25">
      <c r="A1537" s="421" t="s">
        <v>388</v>
      </c>
      <c r="B1537" s="412">
        <f>VLOOKUP(B1522,'BANG LUONG 1'!$B$5:$AJ$56,18,0)</f>
        <v>0</v>
      </c>
      <c r="C1537" s="421">
        <v>15</v>
      </c>
      <c r="D1537" s="41">
        <f>(B1530/26*B1537)*3</f>
        <v>0</v>
      </c>
    </row>
    <row r="1538" spans="1:5" x14ac:dyDescent="0.25">
      <c r="A1538" s="421" t="s">
        <v>533</v>
      </c>
      <c r="B1538" s="412">
        <f>VLOOKUP(B1522,'BANG LUONG 1'!$B$5:$AJ$56,19,0)</f>
        <v>5347427.884615384</v>
      </c>
      <c r="C1538" s="183">
        <v>16</v>
      </c>
      <c r="D1538" s="185">
        <f>B1532+D1534+D1535+D1533+D1537+D1536</f>
        <v>5347427.884615384</v>
      </c>
      <c r="E1538" s="108"/>
    </row>
    <row r="1539" spans="1:5" x14ac:dyDescent="0.25">
      <c r="A1539" s="421" t="s">
        <v>535</v>
      </c>
      <c r="B1539" s="412">
        <f>VLOOKUP(B1522,'BANG LUONG 1'!$B$5:$AJ$56,20,0)</f>
        <v>806105.76923076902</v>
      </c>
      <c r="C1539" s="421">
        <v>17</v>
      </c>
      <c r="D1539" s="41"/>
    </row>
    <row r="1540" spans="1:5" x14ac:dyDescent="0.25">
      <c r="A1540" s="421" t="s">
        <v>370</v>
      </c>
      <c r="B1540" s="412">
        <f>VLOOKUP(B1522,'BANG LUONG 1'!$B$5:$AJ$56,22,0)</f>
        <v>0</v>
      </c>
      <c r="C1540" s="421">
        <v>18</v>
      </c>
      <c r="D1540" s="41"/>
    </row>
    <row r="1541" spans="1:5" x14ac:dyDescent="0.25">
      <c r="A1541" s="421" t="s">
        <v>371</v>
      </c>
      <c r="B1541" s="412">
        <f>VLOOKUP(B1522,'BANG LUONG 1'!$B$5:$AJ$56,23,0)</f>
        <v>300000</v>
      </c>
      <c r="C1541" s="421">
        <v>19</v>
      </c>
      <c r="D1541" s="41"/>
    </row>
    <row r="1542" spans="1:5" x14ac:dyDescent="0.25">
      <c r="A1542" s="421" t="s">
        <v>560</v>
      </c>
      <c r="B1542" s="412">
        <f>VLOOKUP(B1522,'BANG LUONG 1'!$B$5:$AJ$56,24,0)</f>
        <v>0</v>
      </c>
      <c r="C1542" s="421">
        <v>22</v>
      </c>
      <c r="D1542" s="41"/>
    </row>
    <row r="1543" spans="1:5" x14ac:dyDescent="0.25">
      <c r="A1543" s="183" t="s">
        <v>237</v>
      </c>
      <c r="B1543" s="415">
        <f>VLOOKUP(B1522,'BANG LUONG 1'!$B$5:$AJ$56,26,0)</f>
        <v>6453533.6538461531</v>
      </c>
      <c r="C1543" s="421">
        <v>24</v>
      </c>
      <c r="D1543" s="41"/>
    </row>
    <row r="1544" spans="1:5" x14ac:dyDescent="0.25">
      <c r="A1544" s="421" t="s">
        <v>545</v>
      </c>
      <c r="B1544" s="412">
        <f>VLOOKUP(B1522,'BANG LUONG 1'!$B$5:$AJ$56,27,0)</f>
        <v>3000000</v>
      </c>
      <c r="C1544" s="421">
        <v>25</v>
      </c>
      <c r="D1544" s="41"/>
    </row>
    <row r="1545" spans="1:5" x14ac:dyDescent="0.25">
      <c r="A1545" s="421" t="s">
        <v>544</v>
      </c>
      <c r="B1545" s="412">
        <f>VLOOKUP(B1522,'BANG LUONG 1'!$B$5:$AJ$56,28,0)</f>
        <v>0</v>
      </c>
      <c r="C1545" s="421">
        <v>26</v>
      </c>
      <c r="D1545" s="41"/>
    </row>
    <row r="1546" spans="1:5" x14ac:dyDescent="0.25">
      <c r="A1546" s="421" t="s">
        <v>712</v>
      </c>
      <c r="B1546" s="415">
        <f>VLOOKUP(B1522,'BANG LUONG 1'!$B$5:$AJ$56,32,0)</f>
        <v>0</v>
      </c>
      <c r="C1546" s="421"/>
      <c r="D1546" s="41"/>
    </row>
    <row r="1547" spans="1:5" x14ac:dyDescent="0.25">
      <c r="A1547" s="421" t="s">
        <v>713</v>
      </c>
      <c r="B1547" s="415">
        <f>VLOOKUP(B1522,'BANG LUONG 1'!$B$5:$AJ$56,33,0)</f>
        <v>0</v>
      </c>
      <c r="C1547" s="421"/>
      <c r="D1547" s="41"/>
    </row>
    <row r="1548" spans="1:5" x14ac:dyDescent="0.25">
      <c r="A1548" s="183" t="s">
        <v>707</v>
      </c>
      <c r="B1548" s="415">
        <f>VLOOKUP(B1522,'BANG LUONG 1'!$B$5:$AJ$56,34,0)</f>
        <v>0</v>
      </c>
      <c r="C1548" s="421"/>
      <c r="D1548" s="41"/>
      <c r="E1548" s="108" t="str">
        <f>B1523</f>
        <v>Nguyễn Văn Chương</v>
      </c>
    </row>
    <row r="1549" spans="1:5" x14ac:dyDescent="0.25">
      <c r="A1549" s="183" t="s">
        <v>546</v>
      </c>
      <c r="B1549" s="415">
        <f>VLOOKUP(B1522,'BANG LUONG 1'!$B$5:$AJ$56,35,0)</f>
        <v>3554000</v>
      </c>
      <c r="C1549" s="421"/>
      <c r="D1549" s="41"/>
    </row>
    <row r="1550" spans="1:5" x14ac:dyDescent="0.25">
      <c r="A1550" s="183"/>
      <c r="B1550" s="412"/>
      <c r="C1550" s="421">
        <v>27</v>
      </c>
      <c r="D1550" s="185"/>
    </row>
    <row r="1551" spans="1:5" x14ac:dyDescent="0.25">
      <c r="A1551" s="184" t="s">
        <v>549</v>
      </c>
      <c r="B1551" s="424">
        <f>'BANG LUONG 1'!$P$3</f>
        <v>43733</v>
      </c>
    </row>
    <row r="1552" spans="1:5" x14ac:dyDescent="0.25">
      <c r="A1552" s="183" t="s">
        <v>1</v>
      </c>
      <c r="B1552" s="185" t="s">
        <v>144</v>
      </c>
      <c r="C1552" s="421">
        <v>1</v>
      </c>
      <c r="D1552" s="41"/>
    </row>
    <row r="1553" spans="1:5" x14ac:dyDescent="0.25">
      <c r="A1553" s="183" t="s">
        <v>2</v>
      </c>
      <c r="B1553" s="185" t="str">
        <f>VLOOKUP($B1552,'BANG LUONG 1'!$B$6:$AB$48,C1553,0)</f>
        <v>Nguyễn Văn Tuấn</v>
      </c>
      <c r="C1553" s="421">
        <v>2</v>
      </c>
      <c r="D1553" s="41"/>
    </row>
    <row r="1554" spans="1:5" x14ac:dyDescent="0.25">
      <c r="A1554" s="421" t="s">
        <v>3</v>
      </c>
      <c r="B1554" s="41" t="str">
        <f>VLOOKUP($B1552,'BANG LUONG 1'!$B$6:$AJ$48,C1554,0)</f>
        <v>Lái xe cơ giới</v>
      </c>
      <c r="C1554" s="421">
        <v>3</v>
      </c>
      <c r="D1554" s="41"/>
    </row>
    <row r="1555" spans="1:5" x14ac:dyDescent="0.25">
      <c r="A1555" s="421" t="s">
        <v>376</v>
      </c>
      <c r="B1555" s="410">
        <f>VLOOKUP($B1552,'BANG LUONG 1'!$B$5:$AJ$56,4,0)</f>
        <v>43246</v>
      </c>
      <c r="C1555" s="421">
        <v>4</v>
      </c>
      <c r="D1555" s="41"/>
    </row>
    <row r="1556" spans="1:5" x14ac:dyDescent="0.25">
      <c r="A1556" s="421" t="s">
        <v>698</v>
      </c>
      <c r="B1556" s="411">
        <f>VLOOKUP(B1552,'BANG LUONG 1'!$B$5:$AJ$56,6,0)</f>
        <v>0</v>
      </c>
      <c r="C1556" s="421">
        <v>5</v>
      </c>
      <c r="D1556" s="41"/>
    </row>
    <row r="1557" spans="1:5" x14ac:dyDescent="0.25">
      <c r="A1557" s="421" t="s">
        <v>229</v>
      </c>
      <c r="B1557" s="412">
        <f>'thang luong moi'!$F$5</f>
        <v>4012500</v>
      </c>
      <c r="C1557" s="421">
        <v>6</v>
      </c>
      <c r="D1557" s="41"/>
    </row>
    <row r="1558" spans="1:5" x14ac:dyDescent="0.25">
      <c r="A1558" s="421" t="s">
        <v>217</v>
      </c>
      <c r="B1558" s="412" t="str">
        <f>VLOOKUP(B1552,'BANG LUONG 1'!$B$5:$AJ$56,8,0)</f>
        <v>B.02</v>
      </c>
      <c r="C1558" s="421">
        <v>7</v>
      </c>
      <c r="D1558" s="41"/>
    </row>
    <row r="1559" spans="1:5" x14ac:dyDescent="0.25">
      <c r="A1559" s="421" t="s">
        <v>230</v>
      </c>
      <c r="B1559" s="412">
        <f>VLOOKUP(B1552,'BANG LUONG 1'!$B$5:$AJ$56,9,0)</f>
        <v>1</v>
      </c>
      <c r="C1559" s="421">
        <v>8</v>
      </c>
      <c r="D1559" s="41"/>
    </row>
    <row r="1560" spans="1:5" x14ac:dyDescent="0.25">
      <c r="A1560" s="421" t="s">
        <v>538</v>
      </c>
      <c r="B1560" s="412">
        <f>VLOOKUP(B1552,'BANG LUONG 1'!$B$5:$AJ$56,11,0)</f>
        <v>4413750</v>
      </c>
      <c r="C1560" s="421">
        <v>9</v>
      </c>
      <c r="D1560" s="41"/>
    </row>
    <row r="1561" spans="1:5" x14ac:dyDescent="0.25">
      <c r="A1561" s="421" t="s">
        <v>354</v>
      </c>
      <c r="B1561" s="412">
        <f>VLOOKUP(B1552,'BANG LUONG 1'!$B$5:$AJ$56,12,0)</f>
        <v>22</v>
      </c>
      <c r="C1561" s="421">
        <v>10</v>
      </c>
      <c r="D1561" s="41"/>
    </row>
    <row r="1562" spans="1:5" x14ac:dyDescent="0.25">
      <c r="A1562" s="421" t="s">
        <v>534</v>
      </c>
      <c r="B1562" s="412">
        <f>VLOOKUP(B1552,'BANG LUONG 1'!$B$5:$AJ$56,13,0)</f>
        <v>3734711.538461538</v>
      </c>
      <c r="C1562" s="421">
        <v>11</v>
      </c>
      <c r="D1562" s="41"/>
    </row>
    <row r="1563" spans="1:5" x14ac:dyDescent="0.25">
      <c r="A1563" s="421" t="s">
        <v>592</v>
      </c>
      <c r="B1563" s="412">
        <f>VLOOKUP(B1552,'BANG LUONG 1'!$B$5:$AJ$56,14,0)</f>
        <v>4</v>
      </c>
      <c r="C1563" s="421">
        <v>12</v>
      </c>
      <c r="D1563" s="41">
        <f>B1560/26*B1563</f>
        <v>679038.4615384615</v>
      </c>
    </row>
    <row r="1564" spans="1:5" x14ac:dyDescent="0.25">
      <c r="A1564" s="421" t="s">
        <v>357</v>
      </c>
      <c r="B1564" s="412">
        <f>VLOOKUP(B1552,'BANG LUONG 1'!$B$5:$AJ$56,15,0)</f>
        <v>40.650000000000006</v>
      </c>
      <c r="C1564" s="421">
        <v>13</v>
      </c>
      <c r="D1564" s="41">
        <f>B1560/26/8*1.5*B1564</f>
        <v>1293886.5685096155</v>
      </c>
    </row>
    <row r="1565" spans="1:5" x14ac:dyDescent="0.25">
      <c r="A1565" s="421" t="s">
        <v>387</v>
      </c>
      <c r="B1565" s="412">
        <f>VLOOKUP(B1552,'BANG LUONG 1'!$B$5:$AJ$56,16,0)</f>
        <v>24</v>
      </c>
      <c r="C1565" s="421">
        <v>14</v>
      </c>
      <c r="D1565" s="41">
        <f>B1560/26/8*2*B1565</f>
        <v>1018557.6923076923</v>
      </c>
    </row>
    <row r="1566" spans="1:5" x14ac:dyDescent="0.25">
      <c r="A1566" s="421" t="s">
        <v>593</v>
      </c>
      <c r="B1566" s="412">
        <f>VLOOKUP(B1552,'BANG LUONG 1'!$B$5:$AJ$56,17,0)</f>
        <v>1</v>
      </c>
      <c r="C1566" s="421"/>
      <c r="D1566" s="41">
        <f>(B1560/26)*B1566</f>
        <v>169759.61538461538</v>
      </c>
    </row>
    <row r="1567" spans="1:5" x14ac:dyDescent="0.25">
      <c r="A1567" s="421" t="s">
        <v>388</v>
      </c>
      <c r="B1567" s="412">
        <f>VLOOKUP(B1552,'BANG LUONG 1'!$B$5:$AJ$56,18,0)</f>
        <v>0</v>
      </c>
      <c r="C1567" s="421">
        <v>15</v>
      </c>
      <c r="D1567" s="41">
        <f>(B1560/26*B1567)*3</f>
        <v>0</v>
      </c>
    </row>
    <row r="1568" spans="1:5" x14ac:dyDescent="0.25">
      <c r="A1568" s="421" t="s">
        <v>533</v>
      </c>
      <c r="B1568" s="412">
        <f>VLOOKUP(B1552,'BANG LUONG 1'!$B$5:$AJ$56,19,0)</f>
        <v>6895953.876201923</v>
      </c>
      <c r="C1568" s="183">
        <v>16</v>
      </c>
      <c r="D1568" s="185">
        <f>B1562+D1564+D1565+D1563+D1567+D1566</f>
        <v>6895953.876201923</v>
      </c>
      <c r="E1568" s="108"/>
    </row>
    <row r="1569" spans="1:5" x14ac:dyDescent="0.25">
      <c r="A1569" s="421" t="s">
        <v>535</v>
      </c>
      <c r="B1569" s="412">
        <f>VLOOKUP(B1552,'BANG LUONG 1'!$B$5:$AJ$56,20,0)</f>
        <v>119693.48508634325</v>
      </c>
      <c r="C1569" s="421">
        <v>17</v>
      </c>
      <c r="D1569" s="41"/>
    </row>
    <row r="1570" spans="1:5" x14ac:dyDescent="0.25">
      <c r="A1570" s="421" t="s">
        <v>370</v>
      </c>
      <c r="B1570" s="412">
        <f>VLOOKUP(B1552,'BANG LUONG 1'!$B$5:$AJ$56,22,0)</f>
        <v>0</v>
      </c>
      <c r="C1570" s="421">
        <v>18</v>
      </c>
      <c r="D1570" s="41"/>
    </row>
    <row r="1571" spans="1:5" x14ac:dyDescent="0.25">
      <c r="A1571" s="421" t="s">
        <v>371</v>
      </c>
      <c r="B1571" s="412">
        <f>VLOOKUP(B1552,'BANG LUONG 1'!$B$5:$AJ$56,23,0)</f>
        <v>75000</v>
      </c>
      <c r="C1571" s="421">
        <v>19</v>
      </c>
      <c r="D1571" s="41"/>
    </row>
    <row r="1572" spans="1:5" x14ac:dyDescent="0.25">
      <c r="A1572" s="421" t="s">
        <v>560</v>
      </c>
      <c r="B1572" s="412">
        <f>VLOOKUP(B1552,'BANG LUONG 1'!$B$5:$AJ$56,24,0)</f>
        <v>0</v>
      </c>
      <c r="C1572" s="421">
        <v>22</v>
      </c>
      <c r="D1572" s="41"/>
    </row>
    <row r="1573" spans="1:5" x14ac:dyDescent="0.25">
      <c r="A1573" s="183" t="s">
        <v>237</v>
      </c>
      <c r="B1573" s="415">
        <f>VLOOKUP(B1552,'BANG LUONG 1'!$B$5:$AJ$56,26,0)</f>
        <v>7090647.3612882663</v>
      </c>
      <c r="C1573" s="421">
        <v>24</v>
      </c>
      <c r="D1573" s="41"/>
    </row>
    <row r="1574" spans="1:5" x14ac:dyDescent="0.25">
      <c r="A1574" s="421" t="s">
        <v>545</v>
      </c>
      <c r="B1574" s="412">
        <f>VLOOKUP(B1552,'BANG LUONG 1'!$B$5:$AJ$56,27,0)</f>
        <v>3000000</v>
      </c>
      <c r="C1574" s="421">
        <v>25</v>
      </c>
      <c r="D1574" s="41"/>
    </row>
    <row r="1575" spans="1:5" x14ac:dyDescent="0.25">
      <c r="A1575" s="421" t="s">
        <v>544</v>
      </c>
      <c r="B1575" s="412">
        <f>VLOOKUP(B1552,'BANG LUONG 1'!$B$5:$AJ$56,28,0)</f>
        <v>480585</v>
      </c>
      <c r="C1575" s="421">
        <v>26</v>
      </c>
      <c r="D1575" s="41"/>
    </row>
    <row r="1576" spans="1:5" x14ac:dyDescent="0.25">
      <c r="A1576" s="421" t="s">
        <v>712</v>
      </c>
      <c r="B1576" s="415">
        <f>VLOOKUP(B1552,'BANG LUONG 1'!$B$5:$AJ$56,32,0)</f>
        <v>0</v>
      </c>
      <c r="C1576" s="421"/>
      <c r="D1576" s="41"/>
    </row>
    <row r="1577" spans="1:5" x14ac:dyDescent="0.25">
      <c r="A1577" s="421" t="s">
        <v>713</v>
      </c>
      <c r="B1577" s="415">
        <f>VLOOKUP(B1552,'BANG LUONG 1'!$B$5:$AJ$56,33,0)</f>
        <v>242000</v>
      </c>
      <c r="C1577" s="421"/>
      <c r="D1577" s="41"/>
    </row>
    <row r="1578" spans="1:5" x14ac:dyDescent="0.25">
      <c r="A1578" s="183" t="s">
        <v>707</v>
      </c>
      <c r="B1578" s="415">
        <f>VLOOKUP(B1552,'BANG LUONG 1'!$B$5:$AJ$56,34,0)</f>
        <v>0</v>
      </c>
      <c r="C1578" s="421"/>
      <c r="D1578" s="41"/>
      <c r="E1578" s="108" t="str">
        <f>B1553</f>
        <v>Nguyễn Văn Tuấn</v>
      </c>
    </row>
    <row r="1579" spans="1:5" x14ac:dyDescent="0.25">
      <c r="A1579" s="183" t="s">
        <v>546</v>
      </c>
      <c r="B1579" s="415">
        <f>VLOOKUP(B1552,'BANG LUONG 1'!$B$5:$AJ$56,35,0)</f>
        <v>3952000</v>
      </c>
      <c r="C1579" s="421"/>
      <c r="D1579" s="41"/>
    </row>
    <row r="1580" spans="1:5" x14ac:dyDescent="0.25">
      <c r="A1580" s="183"/>
      <c r="B1580" s="412"/>
      <c r="C1580" s="421">
        <v>27</v>
      </c>
      <c r="D1580" s="185"/>
    </row>
    <row r="1581" spans="1:5" x14ac:dyDescent="0.25">
      <c r="A1581" s="184" t="s">
        <v>549</v>
      </c>
      <c r="B1581" s="424">
        <f>'BANG LUONG 1'!$P$3</f>
        <v>43733</v>
      </c>
    </row>
    <row r="1582" spans="1:5" x14ac:dyDescent="0.25">
      <c r="A1582" s="183" t="s">
        <v>1</v>
      </c>
      <c r="B1582" s="185" t="s">
        <v>145</v>
      </c>
      <c r="C1582" s="421">
        <v>1</v>
      </c>
      <c r="D1582" s="41"/>
    </row>
    <row r="1583" spans="1:5" x14ac:dyDescent="0.25">
      <c r="A1583" s="183" t="s">
        <v>2</v>
      </c>
      <c r="B1583" s="185" t="str">
        <f>VLOOKUP($B1582,'BANG LUONG 1'!$B$6:$AB$48,C1583,0)</f>
        <v>Hà Thanh Truyền</v>
      </c>
      <c r="C1583" s="421">
        <v>2</v>
      </c>
      <c r="D1583" s="41"/>
    </row>
    <row r="1584" spans="1:5" x14ac:dyDescent="0.25">
      <c r="A1584" s="421" t="s">
        <v>3</v>
      </c>
      <c r="B1584" s="41" t="str">
        <f>VLOOKUP($B1582,'BANG LUONG 1'!$B$6:$AJ$48,C1584,0)</f>
        <v>Lái xe cơ giới</v>
      </c>
      <c r="C1584" s="421">
        <v>3</v>
      </c>
      <c r="D1584" s="41"/>
    </row>
    <row r="1585" spans="1:5" x14ac:dyDescent="0.25">
      <c r="A1585" s="421" t="s">
        <v>376</v>
      </c>
      <c r="B1585" s="410">
        <f>VLOOKUP($B1582,'BANG LUONG 1'!$B$5:$AJ$56,4,0)</f>
        <v>42789</v>
      </c>
      <c r="C1585" s="421">
        <v>4</v>
      </c>
      <c r="D1585" s="41"/>
    </row>
    <row r="1586" spans="1:5" x14ac:dyDescent="0.25">
      <c r="A1586" s="421" t="s">
        <v>698</v>
      </c>
      <c r="B1586" s="411">
        <f>VLOOKUP(B1582,'BANG LUONG 1'!$B$5:$AJ$56,6,0)</f>
        <v>0</v>
      </c>
      <c r="C1586" s="421">
        <v>5</v>
      </c>
      <c r="D1586" s="41"/>
    </row>
    <row r="1587" spans="1:5" x14ac:dyDescent="0.25">
      <c r="A1587" s="421" t="s">
        <v>229</v>
      </c>
      <c r="B1587" s="412">
        <f>'thang luong moi'!$F$5</f>
        <v>4012500</v>
      </c>
      <c r="C1587" s="421">
        <v>6</v>
      </c>
      <c r="D1587" s="41"/>
    </row>
    <row r="1588" spans="1:5" x14ac:dyDescent="0.25">
      <c r="A1588" s="421" t="s">
        <v>217</v>
      </c>
      <c r="B1588" s="412" t="str">
        <f>VLOOKUP(B1582,'BANG LUONG 1'!$B$5:$AJ$56,8,0)</f>
        <v>B.02</v>
      </c>
      <c r="C1588" s="421">
        <v>7</v>
      </c>
      <c r="D1588" s="41"/>
    </row>
    <row r="1589" spans="1:5" x14ac:dyDescent="0.25">
      <c r="A1589" s="421" t="s">
        <v>230</v>
      </c>
      <c r="B1589" s="412">
        <f>VLOOKUP(B1582,'BANG LUONG 1'!$B$5:$AJ$56,9,0)</f>
        <v>1</v>
      </c>
      <c r="C1589" s="421">
        <v>8</v>
      </c>
      <c r="D1589" s="41"/>
    </row>
    <row r="1590" spans="1:5" x14ac:dyDescent="0.25">
      <c r="A1590" s="421" t="s">
        <v>538</v>
      </c>
      <c r="B1590" s="412">
        <f>VLOOKUP(B1582,'BANG LUONG 1'!$B$5:$AJ$56,11,0)</f>
        <v>4413750</v>
      </c>
      <c r="C1590" s="421">
        <v>9</v>
      </c>
      <c r="D1590" s="41"/>
    </row>
    <row r="1591" spans="1:5" x14ac:dyDescent="0.25">
      <c r="A1591" s="421" t="s">
        <v>354</v>
      </c>
      <c r="B1591" s="412">
        <f>VLOOKUP(B1582,'BANG LUONG 1'!$B$5:$AJ$56,12,0)</f>
        <v>22</v>
      </c>
      <c r="C1591" s="421">
        <v>10</v>
      </c>
      <c r="D1591" s="41"/>
    </row>
    <row r="1592" spans="1:5" x14ac:dyDescent="0.25">
      <c r="A1592" s="421" t="s">
        <v>534</v>
      </c>
      <c r="B1592" s="412">
        <f>VLOOKUP(B1582,'BANG LUONG 1'!$B$5:$AJ$56,13,0)</f>
        <v>3734711.538461538</v>
      </c>
      <c r="C1592" s="421">
        <v>11</v>
      </c>
      <c r="D1592" s="41"/>
    </row>
    <row r="1593" spans="1:5" x14ac:dyDescent="0.25">
      <c r="A1593" s="421" t="s">
        <v>592</v>
      </c>
      <c r="B1593" s="412">
        <f>VLOOKUP(B1582,'BANG LUONG 1'!$B$5:$AJ$56,14,0)</f>
        <v>1</v>
      </c>
      <c r="C1593" s="421">
        <v>12</v>
      </c>
      <c r="D1593" s="41">
        <f>B1590/26*B1593</f>
        <v>169759.61538461538</v>
      </c>
    </row>
    <row r="1594" spans="1:5" x14ac:dyDescent="0.25">
      <c r="A1594" s="421" t="s">
        <v>357</v>
      </c>
      <c r="B1594" s="412">
        <f>VLOOKUP(B1582,'BANG LUONG 1'!$B$5:$AJ$56,15,0)</f>
        <v>32.9</v>
      </c>
      <c r="C1594" s="421">
        <v>13</v>
      </c>
      <c r="D1594" s="41">
        <f>B1590/26/8*1.5*B1594</f>
        <v>1047204.627403846</v>
      </c>
    </row>
    <row r="1595" spans="1:5" x14ac:dyDescent="0.25">
      <c r="A1595" s="421" t="s">
        <v>387</v>
      </c>
      <c r="B1595" s="412">
        <f>VLOOKUP(B1582,'BANG LUONG 1'!$B$5:$AJ$56,16,0)</f>
        <v>8</v>
      </c>
      <c r="C1595" s="421">
        <v>14</v>
      </c>
      <c r="D1595" s="41">
        <f>B1590/26/8*2*B1595</f>
        <v>339519.23076923075</v>
      </c>
    </row>
    <row r="1596" spans="1:5" x14ac:dyDescent="0.25">
      <c r="A1596" s="421" t="s">
        <v>593</v>
      </c>
      <c r="B1596" s="412">
        <f>VLOOKUP(B1582,'BANG LUONG 1'!$B$5:$AJ$56,17,0)</f>
        <v>1</v>
      </c>
      <c r="C1596" s="421"/>
      <c r="D1596" s="41">
        <f>(B1590/26)*B1596</f>
        <v>169759.61538461538</v>
      </c>
    </row>
    <row r="1597" spans="1:5" x14ac:dyDescent="0.25">
      <c r="A1597" s="421" t="s">
        <v>388</v>
      </c>
      <c r="B1597" s="412">
        <f>VLOOKUP(B1582,'BANG LUONG 1'!$B$5:$AJ$56,18,0)</f>
        <v>0</v>
      </c>
      <c r="C1597" s="421">
        <v>15</v>
      </c>
      <c r="D1597" s="41">
        <f>(B1590/26*B1597)*3</f>
        <v>0</v>
      </c>
    </row>
    <row r="1598" spans="1:5" x14ac:dyDescent="0.25">
      <c r="A1598" s="421" t="s">
        <v>533</v>
      </c>
      <c r="B1598" s="412">
        <f>VLOOKUP(B1582,'BANG LUONG 1'!$B$5:$AJ$56,19,0)</f>
        <v>5460954.627403846</v>
      </c>
      <c r="C1598" s="183">
        <v>16</v>
      </c>
      <c r="D1598" s="185">
        <f>B1592+D1594+D1595+D1593+D1597+D1596</f>
        <v>5460954.6274038451</v>
      </c>
      <c r="E1598" s="108"/>
    </row>
    <row r="1599" spans="1:5" x14ac:dyDescent="0.25">
      <c r="A1599" s="421" t="s">
        <v>535</v>
      </c>
      <c r="B1599" s="412">
        <f>VLOOKUP(B1582,'BANG LUONG 1'!$B$5:$AJ$56,20,0)</f>
        <v>3506638.5400313968</v>
      </c>
      <c r="C1599" s="421">
        <v>17</v>
      </c>
      <c r="D1599" s="41"/>
    </row>
    <row r="1600" spans="1:5" x14ac:dyDescent="0.25">
      <c r="A1600" s="421" t="s">
        <v>370</v>
      </c>
      <c r="B1600" s="412">
        <f>VLOOKUP(B1582,'BANG LUONG 1'!$B$5:$AJ$56,22,0)</f>
        <v>0</v>
      </c>
      <c r="C1600" s="421">
        <v>18</v>
      </c>
      <c r="D1600" s="41"/>
    </row>
    <row r="1601" spans="1:5" x14ac:dyDescent="0.25">
      <c r="A1601" s="421" t="s">
        <v>371</v>
      </c>
      <c r="B1601" s="412">
        <f>VLOOKUP(B1582,'BANG LUONG 1'!$B$5:$AJ$56,23,0)</f>
        <v>0</v>
      </c>
      <c r="C1601" s="421">
        <v>19</v>
      </c>
      <c r="D1601" s="41"/>
    </row>
    <row r="1602" spans="1:5" x14ac:dyDescent="0.25">
      <c r="A1602" s="421" t="s">
        <v>560</v>
      </c>
      <c r="B1602" s="412">
        <f>VLOOKUP(B1582,'BANG LUONG 1'!$B$5:$AJ$56,24,0)</f>
        <v>0</v>
      </c>
      <c r="C1602" s="421">
        <v>22</v>
      </c>
      <c r="D1602" s="41"/>
    </row>
    <row r="1603" spans="1:5" x14ac:dyDescent="0.25">
      <c r="A1603" s="183" t="s">
        <v>237</v>
      </c>
      <c r="B1603" s="415">
        <f>VLOOKUP(B1582,'BANG LUONG 1'!$B$5:$AJ$56,26,0)</f>
        <v>8967593.1674352437</v>
      </c>
      <c r="C1603" s="421">
        <v>24</v>
      </c>
      <c r="D1603" s="41"/>
    </row>
    <row r="1604" spans="1:5" x14ac:dyDescent="0.25">
      <c r="A1604" s="421" t="s">
        <v>545</v>
      </c>
      <c r="B1604" s="412">
        <f>VLOOKUP(B1582,'BANG LUONG 1'!$B$5:$AJ$56,27,0)</f>
        <v>4000000</v>
      </c>
      <c r="C1604" s="421">
        <v>25</v>
      </c>
      <c r="D1604" s="41"/>
    </row>
    <row r="1605" spans="1:5" x14ac:dyDescent="0.25">
      <c r="A1605" s="421" t="s">
        <v>544</v>
      </c>
      <c r="B1605" s="412">
        <f>VLOOKUP(B1582,'BANG LUONG 1'!$B$5:$AJ$56,28,0)</f>
        <v>480585</v>
      </c>
      <c r="C1605" s="421">
        <v>26</v>
      </c>
      <c r="D1605" s="41"/>
    </row>
    <row r="1606" spans="1:5" x14ac:dyDescent="0.25">
      <c r="A1606" s="421" t="s">
        <v>712</v>
      </c>
      <c r="B1606" s="415">
        <f>VLOOKUP(B1582,'BANG LUONG 1'!$B$5:$AJ$56,32,0)</f>
        <v>0</v>
      </c>
      <c r="C1606" s="421"/>
      <c r="D1606" s="41"/>
    </row>
    <row r="1607" spans="1:5" x14ac:dyDescent="0.25">
      <c r="A1607" s="421" t="s">
        <v>713</v>
      </c>
      <c r="B1607" s="415">
        <f>VLOOKUP(B1582,'BANG LUONG 1'!$B$5:$AJ$56,33,0)</f>
        <v>132000</v>
      </c>
      <c r="C1607" s="421"/>
      <c r="D1607" s="41"/>
    </row>
    <row r="1608" spans="1:5" x14ac:dyDescent="0.25">
      <c r="A1608" s="183" t="s">
        <v>707</v>
      </c>
      <c r="B1608" s="415">
        <f>VLOOKUP(B1582,'BANG LUONG 1'!$B$5:$AJ$56,34,0)</f>
        <v>0</v>
      </c>
      <c r="C1608" s="421"/>
      <c r="D1608" s="41"/>
      <c r="E1608" s="108" t="str">
        <f>B1583</f>
        <v>Hà Thanh Truyền</v>
      </c>
    </row>
    <row r="1609" spans="1:5" x14ac:dyDescent="0.25">
      <c r="A1609" s="183" t="s">
        <v>546</v>
      </c>
      <c r="B1609" s="415">
        <f>VLOOKUP(B1582,'BANG LUONG 1'!$B$5:$AJ$56,35,0)</f>
        <v>4719000</v>
      </c>
      <c r="C1609" s="421"/>
      <c r="D1609" s="41"/>
    </row>
    <row r="1610" spans="1:5" x14ac:dyDescent="0.25">
      <c r="A1610" s="183"/>
      <c r="B1610" s="412"/>
      <c r="C1610" s="421">
        <v>27</v>
      </c>
      <c r="D1610" s="185"/>
    </row>
    <row r="1611" spans="1:5" x14ac:dyDescent="0.25">
      <c r="A1611" s="184" t="s">
        <v>549</v>
      </c>
      <c r="B1611" s="424">
        <f>'BANG LUONG 1'!$P$3</f>
        <v>43733</v>
      </c>
    </row>
    <row r="1612" spans="1:5" x14ac:dyDescent="0.25">
      <c r="A1612" s="183" t="s">
        <v>1</v>
      </c>
      <c r="B1612" s="185" t="s">
        <v>145</v>
      </c>
      <c r="C1612" s="421">
        <v>1</v>
      </c>
      <c r="D1612" s="41"/>
    </row>
    <row r="1613" spans="1:5" x14ac:dyDescent="0.25">
      <c r="A1613" s="183" t="s">
        <v>2</v>
      </c>
      <c r="B1613" s="185" t="str">
        <f>VLOOKUP($B1612,'BANG LUONG 1'!$B$6:$AB$48,C1613,0)</f>
        <v>Hà Thanh Truyền</v>
      </c>
      <c r="C1613" s="421">
        <v>2</v>
      </c>
      <c r="D1613" s="41"/>
    </row>
    <row r="1614" spans="1:5" x14ac:dyDescent="0.25">
      <c r="A1614" s="421" t="s">
        <v>3</v>
      </c>
      <c r="B1614" s="41" t="str">
        <f>VLOOKUP($B1612,'BANG LUONG 1'!$B$6:$AJ$48,C1614,0)</f>
        <v>Lái xe cơ giới</v>
      </c>
      <c r="C1614" s="421">
        <v>3</v>
      </c>
      <c r="D1614" s="41"/>
    </row>
    <row r="1615" spans="1:5" x14ac:dyDescent="0.25">
      <c r="A1615" s="421" t="s">
        <v>376</v>
      </c>
      <c r="B1615" s="410">
        <f>VLOOKUP($B1612,'BANG LUONG 1'!$B$5:$AJ$56,4,0)</f>
        <v>42789</v>
      </c>
      <c r="C1615" s="421">
        <v>4</v>
      </c>
      <c r="D1615" s="41"/>
    </row>
    <row r="1616" spans="1:5" x14ac:dyDescent="0.25">
      <c r="A1616" s="421" t="s">
        <v>698</v>
      </c>
      <c r="B1616" s="411">
        <f>VLOOKUP(B1612,'BANG LUONG 1'!$B$5:$AJ$56,6,0)</f>
        <v>0</v>
      </c>
      <c r="C1616" s="421">
        <v>5</v>
      </c>
      <c r="D1616" s="41"/>
    </row>
    <row r="1617" spans="1:5" x14ac:dyDescent="0.25">
      <c r="A1617" s="421" t="s">
        <v>229</v>
      </c>
      <c r="B1617" s="412">
        <f>'thang luong moi'!$F$5</f>
        <v>4012500</v>
      </c>
      <c r="C1617" s="421">
        <v>6</v>
      </c>
      <c r="D1617" s="41"/>
    </row>
    <row r="1618" spans="1:5" x14ac:dyDescent="0.25">
      <c r="A1618" s="421" t="s">
        <v>217</v>
      </c>
      <c r="B1618" s="412" t="str">
        <f>VLOOKUP(B1612,'BANG LUONG 1'!$B$5:$AJ$56,8,0)</f>
        <v>B.02</v>
      </c>
      <c r="C1618" s="421">
        <v>7</v>
      </c>
      <c r="D1618" s="41"/>
    </row>
    <row r="1619" spans="1:5" x14ac:dyDescent="0.25">
      <c r="A1619" s="421" t="s">
        <v>230</v>
      </c>
      <c r="B1619" s="412">
        <f>VLOOKUP(B1612,'BANG LUONG 1'!$B$5:$AJ$56,9,0)</f>
        <v>1</v>
      </c>
      <c r="C1619" s="421">
        <v>8</v>
      </c>
      <c r="D1619" s="41"/>
    </row>
    <row r="1620" spans="1:5" x14ac:dyDescent="0.25">
      <c r="A1620" s="421" t="s">
        <v>538</v>
      </c>
      <c r="B1620" s="412">
        <f>VLOOKUP(B1612,'BANG LUONG 1'!$B$5:$AJ$56,11,0)</f>
        <v>4413750</v>
      </c>
      <c r="C1620" s="421">
        <v>9</v>
      </c>
      <c r="D1620" s="41"/>
    </row>
    <row r="1621" spans="1:5" x14ac:dyDescent="0.25">
      <c r="A1621" s="421" t="s">
        <v>354</v>
      </c>
      <c r="B1621" s="412">
        <f>VLOOKUP(B1612,'BANG LUONG 1'!$B$5:$AJ$56,12,0)</f>
        <v>22</v>
      </c>
      <c r="C1621" s="421">
        <v>10</v>
      </c>
      <c r="D1621" s="41"/>
    </row>
    <row r="1622" spans="1:5" x14ac:dyDescent="0.25">
      <c r="A1622" s="421" t="s">
        <v>534</v>
      </c>
      <c r="B1622" s="412">
        <f>VLOOKUP(B1612,'BANG LUONG 1'!$B$5:$AJ$56,13,0)</f>
        <v>3734711.538461538</v>
      </c>
      <c r="C1622" s="421">
        <v>11</v>
      </c>
      <c r="D1622" s="41"/>
    </row>
    <row r="1623" spans="1:5" x14ac:dyDescent="0.25">
      <c r="A1623" s="421" t="s">
        <v>592</v>
      </c>
      <c r="B1623" s="412">
        <f>VLOOKUP(B1612,'BANG LUONG 1'!$B$5:$AJ$56,14,0)</f>
        <v>1</v>
      </c>
      <c r="C1623" s="421">
        <v>12</v>
      </c>
      <c r="D1623" s="41">
        <f>B1620/26*B1623</f>
        <v>169759.61538461538</v>
      </c>
    </row>
    <row r="1624" spans="1:5" x14ac:dyDescent="0.25">
      <c r="A1624" s="421" t="s">
        <v>357</v>
      </c>
      <c r="B1624" s="412">
        <f>VLOOKUP(B1612,'BANG LUONG 1'!$B$5:$AJ$56,15,0)</f>
        <v>32.9</v>
      </c>
      <c r="C1624" s="421">
        <v>13</v>
      </c>
      <c r="D1624" s="41">
        <f>B1620/26/8*1.5*B1624</f>
        <v>1047204.627403846</v>
      </c>
    </row>
    <row r="1625" spans="1:5" x14ac:dyDescent="0.25">
      <c r="A1625" s="421" t="s">
        <v>387</v>
      </c>
      <c r="B1625" s="412">
        <f>VLOOKUP(B1612,'BANG LUONG 1'!$B$5:$AJ$56,16,0)</f>
        <v>8</v>
      </c>
      <c r="C1625" s="421">
        <v>14</v>
      </c>
      <c r="D1625" s="41">
        <f>B1620/26/8*2*B1625</f>
        <v>339519.23076923075</v>
      </c>
    </row>
    <row r="1626" spans="1:5" x14ac:dyDescent="0.25">
      <c r="A1626" s="421" t="s">
        <v>593</v>
      </c>
      <c r="B1626" s="412">
        <f>VLOOKUP(B1612,'BANG LUONG 1'!$B$5:$AJ$56,17,0)</f>
        <v>1</v>
      </c>
      <c r="C1626" s="421"/>
      <c r="D1626" s="41">
        <f>(B1620/26)*B1626</f>
        <v>169759.61538461538</v>
      </c>
    </row>
    <row r="1627" spans="1:5" x14ac:dyDescent="0.25">
      <c r="A1627" s="421" t="s">
        <v>388</v>
      </c>
      <c r="B1627" s="412">
        <f>VLOOKUP(B1612,'BANG LUONG 1'!$B$5:$AJ$56,18,0)</f>
        <v>0</v>
      </c>
      <c r="C1627" s="421">
        <v>15</v>
      </c>
      <c r="D1627" s="41">
        <f>(B1620/26*B1627)*3</f>
        <v>0</v>
      </c>
    </row>
    <row r="1628" spans="1:5" x14ac:dyDescent="0.25">
      <c r="A1628" s="421" t="s">
        <v>533</v>
      </c>
      <c r="B1628" s="412">
        <f>VLOOKUP(B1612,'BANG LUONG 1'!$B$5:$AJ$56,19,0)</f>
        <v>5460954.627403846</v>
      </c>
      <c r="C1628" s="183">
        <v>16</v>
      </c>
      <c r="D1628" s="185">
        <f>B1622+D1624+D1625+D1623+D1627+D1626</f>
        <v>5460954.6274038451</v>
      </c>
      <c r="E1628" s="108"/>
    </row>
    <row r="1629" spans="1:5" x14ac:dyDescent="0.25">
      <c r="A1629" s="421" t="s">
        <v>535</v>
      </c>
      <c r="B1629" s="412">
        <f>VLOOKUP(B1612,'BANG LUONG 1'!$B$5:$AJ$56,20,0)</f>
        <v>3506638.5400313968</v>
      </c>
      <c r="C1629" s="421">
        <v>17</v>
      </c>
      <c r="D1629" s="41"/>
    </row>
    <row r="1630" spans="1:5" x14ac:dyDescent="0.25">
      <c r="A1630" s="421" t="s">
        <v>370</v>
      </c>
      <c r="B1630" s="412">
        <f>VLOOKUP(B1612,'BANG LUONG 1'!$B$5:$AJ$56,22,0)</f>
        <v>0</v>
      </c>
      <c r="C1630" s="421">
        <v>18</v>
      </c>
      <c r="D1630" s="41"/>
    </row>
    <row r="1631" spans="1:5" x14ac:dyDescent="0.25">
      <c r="A1631" s="421" t="s">
        <v>371</v>
      </c>
      <c r="B1631" s="412">
        <f>VLOOKUP(B1612,'BANG LUONG 1'!$B$5:$AJ$56,23,0)</f>
        <v>0</v>
      </c>
      <c r="C1631" s="421">
        <v>19</v>
      </c>
      <c r="D1631" s="41"/>
    </row>
    <row r="1632" spans="1:5" x14ac:dyDescent="0.25">
      <c r="A1632" s="421" t="s">
        <v>560</v>
      </c>
      <c r="B1632" s="412">
        <f>VLOOKUP(B1612,'BANG LUONG 1'!$B$5:$AJ$56,24,0)</f>
        <v>0</v>
      </c>
      <c r="C1632" s="421">
        <v>22</v>
      </c>
      <c r="D1632" s="41"/>
    </row>
    <row r="1633" spans="1:5" x14ac:dyDescent="0.25">
      <c r="A1633" s="183" t="s">
        <v>237</v>
      </c>
      <c r="B1633" s="415">
        <f>VLOOKUP(B1612,'BANG LUONG 1'!$B$5:$AJ$56,26,0)</f>
        <v>8967593.1674352437</v>
      </c>
      <c r="C1633" s="421">
        <v>24</v>
      </c>
      <c r="D1633" s="41"/>
    </row>
    <row r="1634" spans="1:5" x14ac:dyDescent="0.25">
      <c r="A1634" s="421" t="s">
        <v>545</v>
      </c>
      <c r="B1634" s="412">
        <f>VLOOKUP(B1612,'BANG LUONG 1'!$B$5:$AJ$56,27,0)</f>
        <v>4000000</v>
      </c>
      <c r="C1634" s="421">
        <v>25</v>
      </c>
      <c r="D1634" s="41"/>
    </row>
    <row r="1635" spans="1:5" x14ac:dyDescent="0.25">
      <c r="A1635" s="421" t="s">
        <v>544</v>
      </c>
      <c r="B1635" s="412">
        <f>VLOOKUP(B1612,'BANG LUONG 1'!$B$5:$AJ$56,28,0)</f>
        <v>480585</v>
      </c>
      <c r="C1635" s="421">
        <v>26</v>
      </c>
      <c r="D1635" s="41"/>
    </row>
    <row r="1636" spans="1:5" x14ac:dyDescent="0.25">
      <c r="A1636" s="421" t="s">
        <v>712</v>
      </c>
      <c r="B1636" s="415">
        <f>VLOOKUP(B1612,'BANG LUONG 1'!$B$5:$AJ$56,32,0)</f>
        <v>0</v>
      </c>
      <c r="C1636" s="421"/>
      <c r="D1636" s="41"/>
    </row>
    <row r="1637" spans="1:5" x14ac:dyDescent="0.25">
      <c r="A1637" s="421" t="s">
        <v>713</v>
      </c>
      <c r="B1637" s="415">
        <f>VLOOKUP(B1612,'BANG LUONG 1'!$B$5:$AJ$56,33,0)</f>
        <v>132000</v>
      </c>
      <c r="C1637" s="421"/>
      <c r="D1637" s="41"/>
    </row>
    <row r="1638" spans="1:5" x14ac:dyDescent="0.25">
      <c r="A1638" s="183" t="s">
        <v>707</v>
      </c>
      <c r="B1638" s="415">
        <f>VLOOKUP(B1612,'BANG LUONG 1'!$B$5:$AJ$56,34,0)</f>
        <v>0</v>
      </c>
      <c r="C1638" s="421"/>
      <c r="D1638" s="41"/>
      <c r="E1638" s="108" t="str">
        <f>B1613</f>
        <v>Hà Thanh Truyền</v>
      </c>
    </row>
    <row r="1639" spans="1:5" x14ac:dyDescent="0.25">
      <c r="A1639" s="183" t="s">
        <v>546</v>
      </c>
      <c r="B1639" s="415">
        <f>VLOOKUP(B1612,'BANG LUONG 1'!$B$5:$AJ$56,35,0)</f>
        <v>4719000</v>
      </c>
      <c r="C1639" s="421"/>
      <c r="D1639" s="41"/>
    </row>
    <row r="1640" spans="1:5" x14ac:dyDescent="0.25">
      <c r="A1640" s="184" t="s">
        <v>549</v>
      </c>
      <c r="B1640" s="424">
        <f>'BANG LUONG 1'!$P$3</f>
        <v>43733</v>
      </c>
    </row>
    <row r="1641" spans="1:5" x14ac:dyDescent="0.25">
      <c r="A1641" s="183" t="s">
        <v>1</v>
      </c>
      <c r="B1641" s="185" t="s">
        <v>146</v>
      </c>
      <c r="C1641" s="421">
        <v>1</v>
      </c>
      <c r="D1641" s="41"/>
    </row>
    <row r="1642" spans="1:5" x14ac:dyDescent="0.25">
      <c r="A1642" s="183" t="s">
        <v>2</v>
      </c>
      <c r="B1642" s="185" t="str">
        <f>VLOOKUP($B1641,'BANG LUONG 1'!$B$6:$AB$48,C1642,0)</f>
        <v>Phan Văn Bạn</v>
      </c>
      <c r="C1642" s="421">
        <v>2</v>
      </c>
      <c r="D1642" s="41"/>
    </row>
    <row r="1643" spans="1:5" x14ac:dyDescent="0.25">
      <c r="A1643" s="421" t="s">
        <v>3</v>
      </c>
      <c r="B1643" s="41" t="str">
        <f>VLOOKUP($B1641,'BANG LUONG 1'!$B$6:$AJ$48,C1643,0)</f>
        <v>Lái xe cơ giới</v>
      </c>
      <c r="C1643" s="421">
        <v>3</v>
      </c>
      <c r="D1643" s="41"/>
    </row>
    <row r="1644" spans="1:5" x14ac:dyDescent="0.25">
      <c r="A1644" s="421" t="s">
        <v>376</v>
      </c>
      <c r="B1644" s="410">
        <f>VLOOKUP($B1641,'BANG LUONG 1'!$B$5:$AJ$56,4,0)</f>
        <v>41640</v>
      </c>
      <c r="C1644" s="421">
        <v>4</v>
      </c>
      <c r="D1644" s="41"/>
    </row>
    <row r="1645" spans="1:5" x14ac:dyDescent="0.25">
      <c r="A1645" s="421" t="s">
        <v>698</v>
      </c>
      <c r="B1645" s="411">
        <f>VLOOKUP(B1641,'BANG LUONG 1'!$B$5:$AJ$56,6,0)</f>
        <v>0.05</v>
      </c>
      <c r="C1645" s="421">
        <v>5</v>
      </c>
      <c r="D1645" s="41"/>
    </row>
    <row r="1646" spans="1:5" x14ac:dyDescent="0.25">
      <c r="A1646" s="421" t="s">
        <v>229</v>
      </c>
      <c r="B1646" s="412">
        <f>'thang luong moi'!$F$5</f>
        <v>4012500</v>
      </c>
      <c r="C1646" s="421">
        <v>6</v>
      </c>
      <c r="D1646" s="41"/>
    </row>
    <row r="1647" spans="1:5" x14ac:dyDescent="0.25">
      <c r="A1647" s="421" t="s">
        <v>217</v>
      </c>
      <c r="B1647" s="412" t="str">
        <f>VLOOKUP(B1641,'BANG LUONG 1'!$B$5:$AJ$56,8,0)</f>
        <v>B.02</v>
      </c>
      <c r="C1647" s="421">
        <v>7</v>
      </c>
      <c r="D1647" s="41"/>
    </row>
    <row r="1648" spans="1:5" x14ac:dyDescent="0.25">
      <c r="A1648" s="421" t="s">
        <v>230</v>
      </c>
      <c r="B1648" s="412">
        <f>VLOOKUP(B1641,'BANG LUONG 1'!$B$5:$AJ$56,9,0)</f>
        <v>1</v>
      </c>
      <c r="C1648" s="421">
        <v>8</v>
      </c>
      <c r="D1648" s="41"/>
    </row>
    <row r="1649" spans="1:5" x14ac:dyDescent="0.25">
      <c r="A1649" s="421" t="s">
        <v>538</v>
      </c>
      <c r="B1649" s="412">
        <f>VLOOKUP(B1641,'BANG LUONG 1'!$B$5:$AJ$56,11,0)</f>
        <v>4413750</v>
      </c>
      <c r="C1649" s="421">
        <v>9</v>
      </c>
      <c r="D1649" s="41"/>
    </row>
    <row r="1650" spans="1:5" x14ac:dyDescent="0.25">
      <c r="A1650" s="421" t="s">
        <v>354</v>
      </c>
      <c r="B1650" s="412">
        <f>VLOOKUP(B1641,'BANG LUONG 1'!$B$5:$AJ$56,12,0)</f>
        <v>25</v>
      </c>
      <c r="C1650" s="421">
        <v>10</v>
      </c>
      <c r="D1650" s="41"/>
    </row>
    <row r="1651" spans="1:5" x14ac:dyDescent="0.25">
      <c r="A1651" s="421" t="s">
        <v>534</v>
      </c>
      <c r="B1651" s="412">
        <f>VLOOKUP(B1641,'BANG LUONG 1'!$B$5:$AJ$56,13,0)</f>
        <v>4243990.384615384</v>
      </c>
      <c r="C1651" s="421">
        <v>11</v>
      </c>
      <c r="D1651" s="41"/>
    </row>
    <row r="1652" spans="1:5" x14ac:dyDescent="0.25">
      <c r="A1652" s="421" t="s">
        <v>592</v>
      </c>
      <c r="B1652" s="412">
        <f>VLOOKUP(B1641,'BANG LUONG 1'!$B$5:$AJ$56,14,0)</f>
        <v>1</v>
      </c>
      <c r="C1652" s="421">
        <v>12</v>
      </c>
      <c r="D1652" s="41">
        <f>B1649/26*B1652</f>
        <v>169759.61538461538</v>
      </c>
    </row>
    <row r="1653" spans="1:5" x14ac:dyDescent="0.25">
      <c r="A1653" s="421" t="s">
        <v>357</v>
      </c>
      <c r="B1653" s="412">
        <f>VLOOKUP(B1641,'BANG LUONG 1'!$B$5:$AJ$56,15,0)</f>
        <v>24</v>
      </c>
      <c r="C1653" s="421">
        <v>13</v>
      </c>
      <c r="D1653" s="41">
        <f>B1649/26/8*1.5*B1653</f>
        <v>763918.26923076925</v>
      </c>
    </row>
    <row r="1654" spans="1:5" x14ac:dyDescent="0.25">
      <c r="A1654" s="421" t="s">
        <v>387</v>
      </c>
      <c r="B1654" s="412">
        <f>VLOOKUP(B1641,'BANG LUONG 1'!$B$5:$AJ$56,16,0)</f>
        <v>16</v>
      </c>
      <c r="C1654" s="421">
        <v>14</v>
      </c>
      <c r="D1654" s="41">
        <f>B1649/26/8*2*B1654</f>
        <v>679038.4615384615</v>
      </c>
    </row>
    <row r="1655" spans="1:5" x14ac:dyDescent="0.25">
      <c r="A1655" s="421" t="s">
        <v>593</v>
      </c>
      <c r="B1655" s="412">
        <f>VLOOKUP(B1641,'BANG LUONG 1'!$B$5:$AJ$56,17,0)</f>
        <v>1</v>
      </c>
      <c r="C1655" s="421"/>
      <c r="D1655" s="41">
        <f>(B1649/26)*B1655</f>
        <v>169759.61538461538</v>
      </c>
    </row>
    <row r="1656" spans="1:5" x14ac:dyDescent="0.25">
      <c r="A1656" s="421" t="s">
        <v>388</v>
      </c>
      <c r="B1656" s="412">
        <f>VLOOKUP(B1641,'BANG LUONG 1'!$B$5:$AJ$56,18,0)</f>
        <v>0</v>
      </c>
      <c r="C1656" s="421">
        <v>15</v>
      </c>
      <c r="D1656" s="41">
        <f>(B1649/26*B1656)*3</f>
        <v>0</v>
      </c>
    </row>
    <row r="1657" spans="1:5" x14ac:dyDescent="0.25">
      <c r="A1657" s="421" t="s">
        <v>533</v>
      </c>
      <c r="B1657" s="412">
        <f>VLOOKUP(B1641,'BANG LUONG 1'!$B$5:$AJ$56,19,0)</f>
        <v>6026466.3461538451</v>
      </c>
      <c r="C1657" s="183">
        <v>16</v>
      </c>
      <c r="D1657" s="185">
        <f>B1651+D1653+D1654+D1652+D1656+D1655</f>
        <v>6026466.3461538441</v>
      </c>
      <c r="E1657" s="108"/>
    </row>
    <row r="1658" spans="1:5" x14ac:dyDescent="0.25">
      <c r="A1658" s="421" t="s">
        <v>535</v>
      </c>
      <c r="B1658" s="412">
        <f>VLOOKUP(B1641,'BANG LUONG 1'!$B$5:$AJ$56,20,0)</f>
        <v>8323813.4615384638</v>
      </c>
      <c r="C1658" s="421">
        <v>17</v>
      </c>
      <c r="D1658" s="41"/>
    </row>
    <row r="1659" spans="1:5" x14ac:dyDescent="0.25">
      <c r="A1659" s="421" t="s">
        <v>370</v>
      </c>
      <c r="B1659" s="412">
        <f>VLOOKUP(B1641,'BANG LUONG 1'!$B$5:$AJ$56,22,0)</f>
        <v>220687.5</v>
      </c>
      <c r="C1659" s="421">
        <v>18</v>
      </c>
      <c r="D1659" s="41"/>
    </row>
    <row r="1660" spans="1:5" x14ac:dyDescent="0.25">
      <c r="A1660" s="421" t="s">
        <v>371</v>
      </c>
      <c r="B1660" s="412">
        <f>VLOOKUP(B1641,'BANG LUONG 1'!$B$5:$AJ$56,23,0)</f>
        <v>300000</v>
      </c>
      <c r="C1660" s="421">
        <v>19</v>
      </c>
      <c r="D1660" s="41"/>
    </row>
    <row r="1661" spans="1:5" x14ac:dyDescent="0.25">
      <c r="A1661" s="421" t="s">
        <v>560</v>
      </c>
      <c r="B1661" s="412">
        <f>VLOOKUP(B1641,'BANG LUONG 1'!$B$5:$AJ$56,24,0)</f>
        <v>0</v>
      </c>
      <c r="C1661" s="421">
        <v>22</v>
      </c>
      <c r="D1661" s="41"/>
    </row>
    <row r="1662" spans="1:5" x14ac:dyDescent="0.25">
      <c r="A1662" s="183" t="s">
        <v>237</v>
      </c>
      <c r="B1662" s="415">
        <f>VLOOKUP(B1641,'BANG LUONG 1'!$B$5:$AJ$56,26,0)</f>
        <v>14870967.307692308</v>
      </c>
      <c r="C1662" s="421">
        <v>24</v>
      </c>
      <c r="D1662" s="41"/>
    </row>
    <row r="1663" spans="1:5" x14ac:dyDescent="0.25">
      <c r="A1663" s="421" t="s">
        <v>545</v>
      </c>
      <c r="B1663" s="412">
        <f>VLOOKUP(B1641,'BANG LUONG 1'!$B$5:$AJ$56,27,0)</f>
        <v>3000000</v>
      </c>
      <c r="C1663" s="421">
        <v>25</v>
      </c>
      <c r="D1663" s="41"/>
    </row>
    <row r="1664" spans="1:5" x14ac:dyDescent="0.25">
      <c r="A1664" s="421" t="s">
        <v>544</v>
      </c>
      <c r="B1664" s="412">
        <f>VLOOKUP(B1641,'BANG LUONG 1'!$B$5:$AJ$56,28,0)</f>
        <v>480585</v>
      </c>
      <c r="C1664" s="421">
        <v>26</v>
      </c>
      <c r="D1664" s="41"/>
    </row>
    <row r="1665" spans="1:5" x14ac:dyDescent="0.25">
      <c r="A1665" s="421" t="s">
        <v>712</v>
      </c>
      <c r="B1665" s="415">
        <f>VLOOKUP(B1641,'BANG LUONG 1'!$B$5:$AJ$56,32,0)</f>
        <v>0</v>
      </c>
      <c r="C1665" s="421"/>
      <c r="D1665" s="41"/>
    </row>
    <row r="1666" spans="1:5" x14ac:dyDescent="0.25">
      <c r="A1666" s="421" t="s">
        <v>713</v>
      </c>
      <c r="B1666" s="415">
        <f>VLOOKUP(B1641,'BANG LUONG 1'!$B$5:$AJ$56,33,0)</f>
        <v>176000</v>
      </c>
      <c r="C1666" s="421"/>
      <c r="D1666" s="41"/>
    </row>
    <row r="1667" spans="1:5" x14ac:dyDescent="0.25">
      <c r="A1667" s="183" t="s">
        <v>707</v>
      </c>
      <c r="B1667" s="415">
        <f>VLOOKUP(B1641,'BANG LUONG 1'!$B$5:$AJ$56,34,0)</f>
        <v>0</v>
      </c>
      <c r="C1667" s="421"/>
      <c r="D1667" s="41"/>
      <c r="E1667" s="108" t="str">
        <f>B1642</f>
        <v>Phan Văn Bạn</v>
      </c>
    </row>
    <row r="1668" spans="1:5" x14ac:dyDescent="0.25">
      <c r="A1668" s="183" t="s">
        <v>546</v>
      </c>
      <c r="B1668" s="415">
        <f>VLOOKUP(B1641,'BANG LUONG 1'!$B$5:$AJ$56,35,0)</f>
        <v>11666000</v>
      </c>
      <c r="C1668" s="421"/>
      <c r="D1668" s="41"/>
    </row>
    <row r="1669" spans="1:5" x14ac:dyDescent="0.25">
      <c r="A1669" s="183"/>
      <c r="B1669" s="412"/>
      <c r="C1669" s="421">
        <v>27</v>
      </c>
      <c r="D1669" s="185"/>
    </row>
    <row r="1670" spans="1:5" x14ac:dyDescent="0.25">
      <c r="A1670" s="184" t="s">
        <v>549</v>
      </c>
      <c r="B1670" s="424">
        <f>'BANG LUONG 1'!$P$3</f>
        <v>43733</v>
      </c>
    </row>
    <row r="1671" spans="1:5" x14ac:dyDescent="0.25">
      <c r="A1671" s="183" t="s">
        <v>1</v>
      </c>
      <c r="B1671" s="185" t="s">
        <v>146</v>
      </c>
      <c r="C1671" s="421">
        <v>1</v>
      </c>
      <c r="D1671" s="41"/>
    </row>
    <row r="1672" spans="1:5" x14ac:dyDescent="0.25">
      <c r="A1672" s="183" t="s">
        <v>2</v>
      </c>
      <c r="B1672" s="185" t="str">
        <f>VLOOKUP($B1671,'BANG LUONG 1'!$B$6:$AB$48,C1672,0)</f>
        <v>Phan Văn Bạn</v>
      </c>
      <c r="C1672" s="421">
        <v>2</v>
      </c>
      <c r="D1672" s="41"/>
    </row>
    <row r="1673" spans="1:5" x14ac:dyDescent="0.25">
      <c r="A1673" s="421" t="s">
        <v>3</v>
      </c>
      <c r="B1673" s="41" t="str">
        <f>VLOOKUP($B1671,'BANG LUONG 1'!$B$6:$AJ$48,C1673,0)</f>
        <v>Lái xe cơ giới</v>
      </c>
      <c r="C1673" s="421">
        <v>3</v>
      </c>
      <c r="D1673" s="41"/>
    </row>
    <row r="1674" spans="1:5" x14ac:dyDescent="0.25">
      <c r="A1674" s="421" t="s">
        <v>376</v>
      </c>
      <c r="B1674" s="410">
        <f>VLOOKUP($B1671,'BANG LUONG 1'!$B$5:$AJ$56,4,0)</f>
        <v>41640</v>
      </c>
      <c r="C1674" s="421">
        <v>4</v>
      </c>
      <c r="D1674" s="41"/>
    </row>
    <row r="1675" spans="1:5" x14ac:dyDescent="0.25">
      <c r="A1675" s="421" t="s">
        <v>698</v>
      </c>
      <c r="B1675" s="411">
        <f>VLOOKUP(B1671,'BANG LUONG 1'!$B$5:$AJ$56,6,0)</f>
        <v>0.05</v>
      </c>
      <c r="C1675" s="421">
        <v>5</v>
      </c>
      <c r="D1675" s="41"/>
    </row>
    <row r="1676" spans="1:5" x14ac:dyDescent="0.25">
      <c r="A1676" s="421" t="s">
        <v>229</v>
      </c>
      <c r="B1676" s="412">
        <f>'thang luong moi'!$F$5</f>
        <v>4012500</v>
      </c>
      <c r="C1676" s="421">
        <v>6</v>
      </c>
      <c r="D1676" s="41"/>
    </row>
    <row r="1677" spans="1:5" x14ac:dyDescent="0.25">
      <c r="A1677" s="421" t="s">
        <v>217</v>
      </c>
      <c r="B1677" s="412" t="str">
        <f>VLOOKUP(B1671,'BANG LUONG 1'!$B$5:$AJ$56,8,0)</f>
        <v>B.02</v>
      </c>
      <c r="C1677" s="421">
        <v>7</v>
      </c>
      <c r="D1677" s="41"/>
    </row>
    <row r="1678" spans="1:5" x14ac:dyDescent="0.25">
      <c r="A1678" s="421" t="s">
        <v>230</v>
      </c>
      <c r="B1678" s="412">
        <f>VLOOKUP(B1671,'BANG LUONG 1'!$B$5:$AJ$56,9,0)</f>
        <v>1</v>
      </c>
      <c r="C1678" s="421">
        <v>8</v>
      </c>
      <c r="D1678" s="41"/>
    </row>
    <row r="1679" spans="1:5" x14ac:dyDescent="0.25">
      <c r="A1679" s="421" t="s">
        <v>538</v>
      </c>
      <c r="B1679" s="412">
        <f>VLOOKUP(B1671,'BANG LUONG 1'!$B$5:$AJ$56,11,0)</f>
        <v>4413750</v>
      </c>
      <c r="C1679" s="421">
        <v>9</v>
      </c>
      <c r="D1679" s="41"/>
    </row>
    <row r="1680" spans="1:5" x14ac:dyDescent="0.25">
      <c r="A1680" s="421" t="s">
        <v>354</v>
      </c>
      <c r="B1680" s="412">
        <f>VLOOKUP(B1671,'BANG LUONG 1'!$B$5:$AJ$56,12,0)</f>
        <v>25</v>
      </c>
      <c r="C1680" s="421">
        <v>10</v>
      </c>
      <c r="D1680" s="41"/>
    </row>
    <row r="1681" spans="1:5" x14ac:dyDescent="0.25">
      <c r="A1681" s="421" t="s">
        <v>534</v>
      </c>
      <c r="B1681" s="412">
        <f>VLOOKUP(B1671,'BANG LUONG 1'!$B$5:$AJ$56,13,0)</f>
        <v>4243990.384615384</v>
      </c>
      <c r="C1681" s="421">
        <v>11</v>
      </c>
      <c r="D1681" s="41"/>
    </row>
    <row r="1682" spans="1:5" x14ac:dyDescent="0.25">
      <c r="A1682" s="421" t="s">
        <v>592</v>
      </c>
      <c r="B1682" s="412">
        <f>VLOOKUP(B1671,'BANG LUONG 1'!$B$5:$AJ$56,14,0)</f>
        <v>1</v>
      </c>
      <c r="C1682" s="421">
        <v>12</v>
      </c>
      <c r="D1682" s="41">
        <f>B1679/26*B1682</f>
        <v>169759.61538461538</v>
      </c>
    </row>
    <row r="1683" spans="1:5" x14ac:dyDescent="0.25">
      <c r="A1683" s="421" t="s">
        <v>357</v>
      </c>
      <c r="B1683" s="412">
        <f>VLOOKUP(B1671,'BANG LUONG 1'!$B$5:$AJ$56,15,0)</f>
        <v>24</v>
      </c>
      <c r="C1683" s="421">
        <v>13</v>
      </c>
      <c r="D1683" s="41">
        <f>B1679/26/8*1.5*B1683</f>
        <v>763918.26923076925</v>
      </c>
    </row>
    <row r="1684" spans="1:5" x14ac:dyDescent="0.25">
      <c r="A1684" s="421" t="s">
        <v>387</v>
      </c>
      <c r="B1684" s="412">
        <f>VLOOKUP(B1671,'BANG LUONG 1'!$B$5:$AJ$56,16,0)</f>
        <v>16</v>
      </c>
      <c r="C1684" s="421">
        <v>14</v>
      </c>
      <c r="D1684" s="41">
        <f>B1679/26/8*2*B1684</f>
        <v>679038.4615384615</v>
      </c>
    </row>
    <row r="1685" spans="1:5" x14ac:dyDescent="0.25">
      <c r="A1685" s="421" t="s">
        <v>593</v>
      </c>
      <c r="B1685" s="412">
        <f>VLOOKUP(B1671,'BANG LUONG 1'!$B$5:$AJ$56,17,0)</f>
        <v>1</v>
      </c>
      <c r="C1685" s="421"/>
      <c r="D1685" s="41">
        <f>(B1679/26)*B1685</f>
        <v>169759.61538461538</v>
      </c>
    </row>
    <row r="1686" spans="1:5" x14ac:dyDescent="0.25">
      <c r="A1686" s="421" t="s">
        <v>388</v>
      </c>
      <c r="B1686" s="412">
        <f>VLOOKUP(B1671,'BANG LUONG 1'!$B$5:$AJ$56,18,0)</f>
        <v>0</v>
      </c>
      <c r="C1686" s="421">
        <v>15</v>
      </c>
      <c r="D1686" s="41">
        <f>(B1679/26*B1686)*3</f>
        <v>0</v>
      </c>
    </row>
    <row r="1687" spans="1:5" x14ac:dyDescent="0.25">
      <c r="A1687" s="421" t="s">
        <v>533</v>
      </c>
      <c r="B1687" s="412">
        <f>VLOOKUP(B1671,'BANG LUONG 1'!$B$5:$AJ$56,19,0)</f>
        <v>6026466.3461538451</v>
      </c>
      <c r="C1687" s="183">
        <v>16</v>
      </c>
      <c r="D1687" s="185">
        <f>B1681+D1683+D1684+D1682+D1686+D1685</f>
        <v>6026466.3461538441</v>
      </c>
      <c r="E1687" s="108"/>
    </row>
    <row r="1688" spans="1:5" x14ac:dyDescent="0.25">
      <c r="A1688" s="421" t="s">
        <v>535</v>
      </c>
      <c r="B1688" s="412">
        <f>VLOOKUP(B1671,'BANG LUONG 1'!$B$5:$AJ$56,20,0)</f>
        <v>8323813.4615384638</v>
      </c>
      <c r="C1688" s="421">
        <v>17</v>
      </c>
      <c r="D1688" s="41"/>
    </row>
    <row r="1689" spans="1:5" x14ac:dyDescent="0.25">
      <c r="A1689" s="421" t="s">
        <v>370</v>
      </c>
      <c r="B1689" s="412">
        <f>VLOOKUP(B1671,'BANG LUONG 1'!$B$5:$AJ$56,22,0)</f>
        <v>220687.5</v>
      </c>
      <c r="C1689" s="421">
        <v>18</v>
      </c>
      <c r="D1689" s="41"/>
    </row>
    <row r="1690" spans="1:5" x14ac:dyDescent="0.25">
      <c r="A1690" s="421" t="s">
        <v>371</v>
      </c>
      <c r="B1690" s="412">
        <f>VLOOKUP(B1671,'BANG LUONG 1'!$B$5:$AJ$56,23,0)</f>
        <v>300000</v>
      </c>
      <c r="C1690" s="421">
        <v>19</v>
      </c>
      <c r="D1690" s="41"/>
    </row>
    <row r="1691" spans="1:5" x14ac:dyDescent="0.25">
      <c r="A1691" s="421" t="s">
        <v>560</v>
      </c>
      <c r="B1691" s="412">
        <f>VLOOKUP(B1671,'BANG LUONG 1'!$B$5:$AJ$56,24,0)</f>
        <v>0</v>
      </c>
      <c r="C1691" s="421">
        <v>22</v>
      </c>
      <c r="D1691" s="41"/>
    </row>
    <row r="1692" spans="1:5" x14ac:dyDescent="0.25">
      <c r="A1692" s="183" t="s">
        <v>237</v>
      </c>
      <c r="B1692" s="415">
        <f>VLOOKUP(B1671,'BANG LUONG 1'!$B$5:$AJ$56,26,0)</f>
        <v>14870967.307692308</v>
      </c>
      <c r="C1692" s="421">
        <v>24</v>
      </c>
      <c r="D1692" s="41"/>
    </row>
    <row r="1693" spans="1:5" x14ac:dyDescent="0.25">
      <c r="A1693" s="421" t="s">
        <v>545</v>
      </c>
      <c r="B1693" s="412">
        <f>VLOOKUP(B1671,'BANG LUONG 1'!$B$5:$AJ$56,27,0)</f>
        <v>3000000</v>
      </c>
      <c r="C1693" s="421">
        <v>25</v>
      </c>
      <c r="D1693" s="41"/>
    </row>
    <row r="1694" spans="1:5" x14ac:dyDescent="0.25">
      <c r="A1694" s="421" t="s">
        <v>544</v>
      </c>
      <c r="B1694" s="412">
        <f>VLOOKUP(B1671,'BANG LUONG 1'!$B$5:$AJ$56,28,0)</f>
        <v>480585</v>
      </c>
      <c r="C1694" s="421">
        <v>26</v>
      </c>
      <c r="D1694" s="41"/>
    </row>
    <row r="1695" spans="1:5" x14ac:dyDescent="0.25">
      <c r="A1695" s="421" t="s">
        <v>712</v>
      </c>
      <c r="B1695" s="415">
        <f>VLOOKUP(B1671,'BANG LUONG 1'!$B$5:$AJ$56,32,0)</f>
        <v>0</v>
      </c>
      <c r="C1695" s="421"/>
      <c r="D1695" s="41"/>
    </row>
    <row r="1696" spans="1:5" x14ac:dyDescent="0.25">
      <c r="A1696" s="421" t="s">
        <v>713</v>
      </c>
      <c r="B1696" s="415">
        <f>VLOOKUP(B1671,'BANG LUONG 1'!$B$5:$AJ$56,33,0)</f>
        <v>176000</v>
      </c>
      <c r="C1696" s="421"/>
      <c r="D1696" s="41"/>
    </row>
    <row r="1697" spans="1:5" x14ac:dyDescent="0.25">
      <c r="A1697" s="183" t="s">
        <v>707</v>
      </c>
      <c r="B1697" s="415">
        <f>VLOOKUP(B1671,'BANG LUONG 1'!$B$5:$AJ$56,34,0)</f>
        <v>0</v>
      </c>
      <c r="C1697" s="421"/>
      <c r="D1697" s="41"/>
      <c r="E1697" s="108" t="str">
        <f>B1672</f>
        <v>Phan Văn Bạn</v>
      </c>
    </row>
    <row r="1698" spans="1:5" x14ac:dyDescent="0.25">
      <c r="A1698" s="183" t="s">
        <v>546</v>
      </c>
      <c r="B1698" s="415">
        <f>VLOOKUP(B1671,'BANG LUONG 1'!$B$5:$AJ$56,35,0)</f>
        <v>11666000</v>
      </c>
      <c r="C1698" s="421"/>
      <c r="D1698" s="41"/>
    </row>
    <row r="1699" spans="1:5" x14ac:dyDescent="0.25">
      <c r="A1699" s="183"/>
      <c r="B1699" s="412"/>
      <c r="C1699" s="421">
        <v>27</v>
      </c>
      <c r="D1699" s="185"/>
    </row>
    <row r="1700" spans="1:5" x14ac:dyDescent="0.25">
      <c r="A1700" s="184" t="s">
        <v>549</v>
      </c>
      <c r="B1700" s="424">
        <f>'BANG LUONG 1'!$P$3</f>
        <v>43733</v>
      </c>
    </row>
    <row r="1701" spans="1:5" x14ac:dyDescent="0.25">
      <c r="A1701" s="183" t="s">
        <v>1</v>
      </c>
      <c r="B1701" s="185" t="s">
        <v>147</v>
      </c>
      <c r="C1701" s="421">
        <v>1</v>
      </c>
      <c r="D1701" s="41"/>
    </row>
    <row r="1702" spans="1:5" x14ac:dyDescent="0.25">
      <c r="A1702" s="183" t="s">
        <v>2</v>
      </c>
      <c r="B1702" s="185" t="str">
        <f>VLOOKUP($B1701,'BANG LUONG 1'!$B$6:$AB$48,C1702,0)</f>
        <v>Lê Minh Trọng</v>
      </c>
      <c r="C1702" s="421">
        <v>2</v>
      </c>
      <c r="D1702" s="41"/>
    </row>
    <row r="1703" spans="1:5" x14ac:dyDescent="0.25">
      <c r="A1703" s="421" t="s">
        <v>3</v>
      </c>
      <c r="B1703" s="41" t="str">
        <f>VLOOKUP($B1701,'BANG LUONG 1'!$B$6:$AJ$48,C1703,0)</f>
        <v>Lái xe cơ giới</v>
      </c>
      <c r="C1703" s="421">
        <v>3</v>
      </c>
      <c r="D1703" s="41"/>
    </row>
    <row r="1704" spans="1:5" x14ac:dyDescent="0.25">
      <c r="A1704" s="421" t="s">
        <v>376</v>
      </c>
      <c r="B1704" s="410">
        <f>VLOOKUP($B1701,'BANG LUONG 1'!$B$5:$AJ$56,4,0)</f>
        <v>42375</v>
      </c>
      <c r="C1704" s="421">
        <v>4</v>
      </c>
      <c r="D1704" s="41"/>
    </row>
    <row r="1705" spans="1:5" x14ac:dyDescent="0.25">
      <c r="A1705" s="421" t="s">
        <v>698</v>
      </c>
      <c r="B1705" s="411">
        <f>VLOOKUP(B1701,'BANG LUONG 1'!$B$5:$AJ$56,6,0)</f>
        <v>0.03</v>
      </c>
      <c r="C1705" s="421">
        <v>5</v>
      </c>
      <c r="D1705" s="41"/>
    </row>
    <row r="1706" spans="1:5" x14ac:dyDescent="0.25">
      <c r="A1706" s="421" t="s">
        <v>229</v>
      </c>
      <c r="B1706" s="412">
        <f>'thang luong moi'!$F$5</f>
        <v>4012500</v>
      </c>
      <c r="C1706" s="421">
        <v>6</v>
      </c>
      <c r="D1706" s="41"/>
    </row>
    <row r="1707" spans="1:5" x14ac:dyDescent="0.25">
      <c r="A1707" s="421" t="s">
        <v>217</v>
      </c>
      <c r="B1707" s="412" t="str">
        <f>VLOOKUP(B1701,'BANG LUONG 1'!$B$5:$AJ$56,8,0)</f>
        <v>B.02</v>
      </c>
      <c r="C1707" s="421">
        <v>7</v>
      </c>
      <c r="D1707" s="41"/>
    </row>
    <row r="1708" spans="1:5" x14ac:dyDescent="0.25">
      <c r="A1708" s="421" t="s">
        <v>230</v>
      </c>
      <c r="B1708" s="412">
        <f>VLOOKUP(B1701,'BANG LUONG 1'!$B$5:$AJ$56,9,0)</f>
        <v>1</v>
      </c>
      <c r="C1708" s="421">
        <v>8</v>
      </c>
      <c r="D1708" s="41"/>
    </row>
    <row r="1709" spans="1:5" x14ac:dyDescent="0.25">
      <c r="A1709" s="421" t="s">
        <v>538</v>
      </c>
      <c r="B1709" s="412">
        <f>VLOOKUP(B1701,'BANG LUONG 1'!$B$5:$AJ$56,11,0)</f>
        <v>4413750</v>
      </c>
      <c r="C1709" s="421">
        <v>9</v>
      </c>
      <c r="D1709" s="41"/>
    </row>
    <row r="1710" spans="1:5" x14ac:dyDescent="0.25">
      <c r="A1710" s="421" t="s">
        <v>354</v>
      </c>
      <c r="B1710" s="412">
        <f>VLOOKUP(B1701,'BANG LUONG 1'!$B$5:$AJ$56,12,0)</f>
        <v>20</v>
      </c>
      <c r="C1710" s="421">
        <v>10</v>
      </c>
      <c r="D1710" s="41"/>
    </row>
    <row r="1711" spans="1:5" x14ac:dyDescent="0.25">
      <c r="A1711" s="421" t="s">
        <v>534</v>
      </c>
      <c r="B1711" s="412">
        <f>VLOOKUP(B1701,'BANG LUONG 1'!$B$5:$AJ$56,13,0)</f>
        <v>3395192.3076923075</v>
      </c>
      <c r="C1711" s="421">
        <v>11</v>
      </c>
      <c r="D1711" s="41"/>
    </row>
    <row r="1712" spans="1:5" x14ac:dyDescent="0.25">
      <c r="A1712" s="421" t="s">
        <v>592</v>
      </c>
      <c r="B1712" s="412">
        <f>VLOOKUP(B1701,'BANG LUONG 1'!$B$5:$AJ$56,14,0)</f>
        <v>6</v>
      </c>
      <c r="C1712" s="421">
        <v>12</v>
      </c>
      <c r="D1712" s="41">
        <f>B1709/26*B1712</f>
        <v>1018557.6923076923</v>
      </c>
    </row>
    <row r="1713" spans="1:5" x14ac:dyDescent="0.25">
      <c r="A1713" s="421" t="s">
        <v>357</v>
      </c>
      <c r="B1713" s="412">
        <f>VLOOKUP(B1701,'BANG LUONG 1'!$B$5:$AJ$56,15,0)</f>
        <v>9</v>
      </c>
      <c r="C1713" s="421">
        <v>13</v>
      </c>
      <c r="D1713" s="41">
        <f>B1709/26/8*1.5*B1713</f>
        <v>286469.35096153844</v>
      </c>
    </row>
    <row r="1714" spans="1:5" x14ac:dyDescent="0.25">
      <c r="A1714" s="421" t="s">
        <v>387</v>
      </c>
      <c r="B1714" s="412">
        <f>VLOOKUP(B1701,'BANG LUONG 1'!$B$5:$AJ$56,16,0)</f>
        <v>12</v>
      </c>
      <c r="C1714" s="421">
        <v>14</v>
      </c>
      <c r="D1714" s="41">
        <f>B1709/26/8*2*B1714</f>
        <v>509278.84615384613</v>
      </c>
    </row>
    <row r="1715" spans="1:5" x14ac:dyDescent="0.25">
      <c r="A1715" s="421" t="s">
        <v>593</v>
      </c>
      <c r="B1715" s="412">
        <f>VLOOKUP(B1701,'BANG LUONG 1'!$B$5:$AJ$56,17,0)</f>
        <v>1</v>
      </c>
      <c r="C1715" s="421"/>
      <c r="D1715" s="41">
        <f>(B1709/26)*B1715</f>
        <v>169759.61538461538</v>
      </c>
    </row>
    <row r="1716" spans="1:5" x14ac:dyDescent="0.25">
      <c r="A1716" s="421" t="s">
        <v>388</v>
      </c>
      <c r="B1716" s="412">
        <f>VLOOKUP(B1701,'BANG LUONG 1'!$B$5:$AJ$56,18,0)</f>
        <v>0</v>
      </c>
      <c r="C1716" s="421">
        <v>15</v>
      </c>
      <c r="D1716" s="41">
        <f>(B1709/26*B1716)*3</f>
        <v>0</v>
      </c>
    </row>
    <row r="1717" spans="1:5" x14ac:dyDescent="0.25">
      <c r="A1717" s="421" t="s">
        <v>533</v>
      </c>
      <c r="B1717" s="412">
        <f>VLOOKUP(B1701,'BANG LUONG 1'!$B$5:$AJ$56,19,0)</f>
        <v>5379257.8124999991</v>
      </c>
      <c r="C1717" s="183">
        <v>16</v>
      </c>
      <c r="D1717" s="185">
        <f>B1711+D1713+D1714+D1712+D1716+D1715</f>
        <v>5379257.8124999991</v>
      </c>
      <c r="E1717" s="108"/>
    </row>
    <row r="1718" spans="1:5" x14ac:dyDescent="0.25">
      <c r="A1718" s="421" t="s">
        <v>535</v>
      </c>
      <c r="B1718" s="412">
        <f>VLOOKUP(B1701,'BANG LUONG 1'!$B$5:$AJ$56,20,0)</f>
        <v>-966620.87912087888</v>
      </c>
      <c r="C1718" s="421">
        <v>17</v>
      </c>
      <c r="D1718" s="41"/>
    </row>
    <row r="1719" spans="1:5" x14ac:dyDescent="0.25">
      <c r="A1719" s="421" t="s">
        <v>370</v>
      </c>
      <c r="B1719" s="412">
        <f>VLOOKUP(B1701,'BANG LUONG 1'!$B$5:$AJ$56,22,0)</f>
        <v>132412.5</v>
      </c>
      <c r="C1719" s="421">
        <v>18</v>
      </c>
      <c r="D1719" s="41"/>
    </row>
    <row r="1720" spans="1:5" x14ac:dyDescent="0.25">
      <c r="A1720" s="421" t="s">
        <v>371</v>
      </c>
      <c r="B1720" s="412">
        <f>VLOOKUP(B1701,'BANG LUONG 1'!$B$5:$AJ$56,23,0)</f>
        <v>0</v>
      </c>
      <c r="C1720" s="421">
        <v>19</v>
      </c>
      <c r="D1720" s="41"/>
    </row>
    <row r="1721" spans="1:5" x14ac:dyDescent="0.25">
      <c r="A1721" s="421" t="s">
        <v>560</v>
      </c>
      <c r="B1721" s="412">
        <f>VLOOKUP(B1701,'BANG LUONG 1'!$B$5:$AJ$56,24,0)</f>
        <v>0</v>
      </c>
      <c r="C1721" s="421">
        <v>22</v>
      </c>
      <c r="D1721" s="41"/>
    </row>
    <row r="1722" spans="1:5" x14ac:dyDescent="0.25">
      <c r="A1722" s="183" t="s">
        <v>237</v>
      </c>
      <c r="B1722" s="415">
        <f>VLOOKUP(B1701,'BANG LUONG 1'!$B$5:$AJ$56,26,0)</f>
        <v>4545049.4333791202</v>
      </c>
      <c r="C1722" s="421">
        <v>24</v>
      </c>
      <c r="D1722" s="41"/>
    </row>
    <row r="1723" spans="1:5" x14ac:dyDescent="0.25">
      <c r="A1723" s="421" t="s">
        <v>545</v>
      </c>
      <c r="B1723" s="412">
        <f>VLOOKUP(B1701,'BANG LUONG 1'!$B$5:$AJ$56,27,0)</f>
        <v>4000000</v>
      </c>
      <c r="C1723" s="421">
        <v>25</v>
      </c>
      <c r="D1723" s="41"/>
    </row>
    <row r="1724" spans="1:5" x14ac:dyDescent="0.25">
      <c r="A1724" s="421" t="s">
        <v>544</v>
      </c>
      <c r="B1724" s="412">
        <f>VLOOKUP(B1701,'BANG LUONG 1'!$B$5:$AJ$56,28,0)</f>
        <v>480585</v>
      </c>
      <c r="C1724" s="421">
        <v>26</v>
      </c>
      <c r="D1724" s="41"/>
    </row>
    <row r="1725" spans="1:5" x14ac:dyDescent="0.25">
      <c r="A1725" s="421" t="s">
        <v>712</v>
      </c>
      <c r="B1725" s="415">
        <f>VLOOKUP(B1701,'BANG LUONG 1'!$B$5:$AJ$56,32,0)</f>
        <v>0</v>
      </c>
      <c r="C1725" s="421"/>
      <c r="D1725" s="41"/>
    </row>
    <row r="1726" spans="1:5" x14ac:dyDescent="0.25">
      <c r="A1726" s="421" t="s">
        <v>713</v>
      </c>
      <c r="B1726" s="415">
        <f>VLOOKUP(B1701,'BANG LUONG 1'!$B$5:$AJ$56,33,0)</f>
        <v>44000</v>
      </c>
      <c r="C1726" s="421"/>
      <c r="D1726" s="41"/>
    </row>
    <row r="1727" spans="1:5" x14ac:dyDescent="0.25">
      <c r="A1727" s="183" t="s">
        <v>707</v>
      </c>
      <c r="B1727" s="415">
        <f>VLOOKUP(B1701,'BANG LUONG 1'!$B$5:$AJ$56,34,0)</f>
        <v>0</v>
      </c>
      <c r="C1727" s="421"/>
      <c r="D1727" s="41"/>
      <c r="E1727" s="108" t="str">
        <f>B1702</f>
        <v>Lê Minh Trọng</v>
      </c>
    </row>
    <row r="1728" spans="1:5" x14ac:dyDescent="0.25">
      <c r="A1728" s="183" t="s">
        <v>546</v>
      </c>
      <c r="B1728" s="415">
        <f>VLOOKUP(B1701,'BANG LUONG 1'!$B$5:$AJ$56,35,0)</f>
        <v>208000</v>
      </c>
      <c r="C1728" s="421"/>
      <c r="D1728" s="41"/>
    </row>
    <row r="1729" spans="1:4" x14ac:dyDescent="0.25">
      <c r="A1729" s="183"/>
      <c r="B1729" s="412"/>
      <c r="C1729" s="421">
        <v>27</v>
      </c>
      <c r="D1729" s="185"/>
    </row>
    <row r="1730" spans="1:4" x14ac:dyDescent="0.25">
      <c r="A1730" s="184" t="s">
        <v>549</v>
      </c>
      <c r="B1730" s="424">
        <f>'BANG LUONG 1'!$P$3</f>
        <v>43733</v>
      </c>
    </row>
    <row r="1731" spans="1:4" x14ac:dyDescent="0.25">
      <c r="A1731" s="183" t="s">
        <v>1</v>
      </c>
      <c r="B1731" s="185" t="s">
        <v>147</v>
      </c>
      <c r="C1731" s="421">
        <v>1</v>
      </c>
      <c r="D1731" s="41"/>
    </row>
    <row r="1732" spans="1:4" x14ac:dyDescent="0.25">
      <c r="A1732" s="183" t="s">
        <v>2</v>
      </c>
      <c r="B1732" s="185" t="str">
        <f>VLOOKUP($B1731,'BANG LUONG 1'!$B$6:$AB$48,C1732,0)</f>
        <v>Lê Minh Trọng</v>
      </c>
      <c r="C1732" s="421">
        <v>2</v>
      </c>
      <c r="D1732" s="41"/>
    </row>
    <row r="1733" spans="1:4" x14ac:dyDescent="0.25">
      <c r="A1733" s="421" t="s">
        <v>3</v>
      </c>
      <c r="B1733" s="41" t="str">
        <f>VLOOKUP($B1731,'BANG LUONG 1'!$B$6:$AJ$48,C1733,0)</f>
        <v>Lái xe cơ giới</v>
      </c>
      <c r="C1733" s="421">
        <v>3</v>
      </c>
      <c r="D1733" s="41"/>
    </row>
    <row r="1734" spans="1:4" x14ac:dyDescent="0.25">
      <c r="A1734" s="421" t="s">
        <v>376</v>
      </c>
      <c r="B1734" s="410">
        <f>VLOOKUP($B1731,'BANG LUONG 1'!$B$5:$AJ$56,4,0)</f>
        <v>42375</v>
      </c>
      <c r="C1734" s="421">
        <v>4</v>
      </c>
      <c r="D1734" s="41"/>
    </row>
    <row r="1735" spans="1:4" x14ac:dyDescent="0.25">
      <c r="A1735" s="421" t="s">
        <v>698</v>
      </c>
      <c r="B1735" s="411">
        <f>VLOOKUP(B1731,'BANG LUONG 1'!$B$5:$AJ$56,6,0)</f>
        <v>0.03</v>
      </c>
      <c r="C1735" s="421">
        <v>5</v>
      </c>
      <c r="D1735" s="41"/>
    </row>
    <row r="1736" spans="1:4" x14ac:dyDescent="0.25">
      <c r="A1736" s="421" t="s">
        <v>229</v>
      </c>
      <c r="B1736" s="412">
        <f>'thang luong moi'!$F$5</f>
        <v>4012500</v>
      </c>
      <c r="C1736" s="421">
        <v>6</v>
      </c>
      <c r="D1736" s="41"/>
    </row>
    <row r="1737" spans="1:4" x14ac:dyDescent="0.25">
      <c r="A1737" s="421" t="s">
        <v>217</v>
      </c>
      <c r="B1737" s="412" t="str">
        <f>VLOOKUP(B1731,'BANG LUONG 1'!$B$5:$AJ$56,8,0)</f>
        <v>B.02</v>
      </c>
      <c r="C1737" s="421">
        <v>7</v>
      </c>
      <c r="D1737" s="41"/>
    </row>
    <row r="1738" spans="1:4" x14ac:dyDescent="0.25">
      <c r="A1738" s="421" t="s">
        <v>230</v>
      </c>
      <c r="B1738" s="412">
        <f>VLOOKUP(B1731,'BANG LUONG 1'!$B$5:$AJ$56,9,0)</f>
        <v>1</v>
      </c>
      <c r="C1738" s="421">
        <v>8</v>
      </c>
      <c r="D1738" s="41"/>
    </row>
    <row r="1739" spans="1:4" x14ac:dyDescent="0.25">
      <c r="A1739" s="421" t="s">
        <v>538</v>
      </c>
      <c r="B1739" s="412">
        <f>VLOOKUP(B1731,'BANG LUONG 1'!$B$5:$AJ$56,11,0)</f>
        <v>4413750</v>
      </c>
      <c r="C1739" s="421">
        <v>9</v>
      </c>
      <c r="D1739" s="41"/>
    </row>
    <row r="1740" spans="1:4" x14ac:dyDescent="0.25">
      <c r="A1740" s="421" t="s">
        <v>354</v>
      </c>
      <c r="B1740" s="412">
        <f>VLOOKUP(B1731,'BANG LUONG 1'!$B$5:$AJ$56,12,0)</f>
        <v>20</v>
      </c>
      <c r="C1740" s="421">
        <v>10</v>
      </c>
      <c r="D1740" s="41"/>
    </row>
    <row r="1741" spans="1:4" x14ac:dyDescent="0.25">
      <c r="A1741" s="421" t="s">
        <v>534</v>
      </c>
      <c r="B1741" s="412">
        <f>VLOOKUP(B1731,'BANG LUONG 1'!$B$5:$AJ$56,13,0)</f>
        <v>3395192.3076923075</v>
      </c>
      <c r="C1741" s="421">
        <v>11</v>
      </c>
      <c r="D1741" s="41"/>
    </row>
    <row r="1742" spans="1:4" x14ac:dyDescent="0.25">
      <c r="A1742" s="421" t="s">
        <v>592</v>
      </c>
      <c r="B1742" s="412">
        <f>VLOOKUP(B1731,'BANG LUONG 1'!$B$5:$AJ$56,14,0)</f>
        <v>6</v>
      </c>
      <c r="C1742" s="421">
        <v>12</v>
      </c>
      <c r="D1742" s="41">
        <f>B1739/26*B1742</f>
        <v>1018557.6923076923</v>
      </c>
    </row>
    <row r="1743" spans="1:4" x14ac:dyDescent="0.25">
      <c r="A1743" s="421" t="s">
        <v>357</v>
      </c>
      <c r="B1743" s="412">
        <f>VLOOKUP(B1731,'BANG LUONG 1'!$B$5:$AJ$56,15,0)</f>
        <v>9</v>
      </c>
      <c r="C1743" s="421">
        <v>13</v>
      </c>
      <c r="D1743" s="41">
        <f>B1739/26/8*1.5*B1743</f>
        <v>286469.35096153844</v>
      </c>
    </row>
    <row r="1744" spans="1:4" x14ac:dyDescent="0.25">
      <c r="A1744" s="421" t="s">
        <v>387</v>
      </c>
      <c r="B1744" s="412">
        <f>VLOOKUP(B1731,'BANG LUONG 1'!$B$5:$AJ$56,16,0)</f>
        <v>12</v>
      </c>
      <c r="C1744" s="421">
        <v>14</v>
      </c>
      <c r="D1744" s="41">
        <f>B1739/26/8*2*B1744</f>
        <v>509278.84615384613</v>
      </c>
    </row>
    <row r="1745" spans="1:5" x14ac:dyDescent="0.25">
      <c r="A1745" s="421" t="s">
        <v>593</v>
      </c>
      <c r="B1745" s="412">
        <f>VLOOKUP(B1731,'BANG LUONG 1'!$B$5:$AJ$56,17,0)</f>
        <v>1</v>
      </c>
      <c r="C1745" s="421"/>
      <c r="D1745" s="41">
        <f>(B1739/26)*B1745</f>
        <v>169759.61538461538</v>
      </c>
    </row>
    <row r="1746" spans="1:5" x14ac:dyDescent="0.25">
      <c r="A1746" s="421" t="s">
        <v>388</v>
      </c>
      <c r="B1746" s="412">
        <f>VLOOKUP(B1731,'BANG LUONG 1'!$B$5:$AJ$56,18,0)</f>
        <v>0</v>
      </c>
      <c r="C1746" s="421">
        <v>15</v>
      </c>
      <c r="D1746" s="41">
        <f>(B1739/26*B1746)*3</f>
        <v>0</v>
      </c>
    </row>
    <row r="1747" spans="1:5" x14ac:dyDescent="0.25">
      <c r="A1747" s="421" t="s">
        <v>533</v>
      </c>
      <c r="B1747" s="412">
        <f>VLOOKUP(B1731,'BANG LUONG 1'!$B$5:$AJ$56,19,0)</f>
        <v>5379257.8124999991</v>
      </c>
      <c r="C1747" s="183">
        <v>16</v>
      </c>
      <c r="D1747" s="185">
        <f>B1741+D1743+D1744+D1742+D1746+D1745</f>
        <v>5379257.8124999991</v>
      </c>
      <c r="E1747" s="108"/>
    </row>
    <row r="1748" spans="1:5" x14ac:dyDescent="0.25">
      <c r="A1748" s="421" t="s">
        <v>535</v>
      </c>
      <c r="B1748" s="412">
        <f>VLOOKUP(B1731,'BANG LUONG 1'!$B$5:$AJ$56,20,0)</f>
        <v>-966620.87912087888</v>
      </c>
      <c r="C1748" s="421">
        <v>17</v>
      </c>
      <c r="D1748" s="41"/>
    </row>
    <row r="1749" spans="1:5" x14ac:dyDescent="0.25">
      <c r="A1749" s="421" t="s">
        <v>370</v>
      </c>
      <c r="B1749" s="412">
        <f>VLOOKUP(B1731,'BANG LUONG 1'!$B$5:$AJ$56,22,0)</f>
        <v>132412.5</v>
      </c>
      <c r="C1749" s="421">
        <v>18</v>
      </c>
      <c r="D1749" s="41"/>
    </row>
    <row r="1750" spans="1:5" x14ac:dyDescent="0.25">
      <c r="A1750" s="421" t="s">
        <v>371</v>
      </c>
      <c r="B1750" s="412">
        <f>VLOOKUP(B1731,'BANG LUONG 1'!$B$5:$AJ$56,23,0)</f>
        <v>0</v>
      </c>
      <c r="C1750" s="421">
        <v>19</v>
      </c>
      <c r="D1750" s="41"/>
    </row>
    <row r="1751" spans="1:5" x14ac:dyDescent="0.25">
      <c r="A1751" s="421" t="s">
        <v>560</v>
      </c>
      <c r="B1751" s="412">
        <f>VLOOKUP(B1731,'BANG LUONG 1'!$B$5:$AJ$56,24,0)</f>
        <v>0</v>
      </c>
      <c r="C1751" s="421">
        <v>22</v>
      </c>
      <c r="D1751" s="41"/>
    </row>
    <row r="1752" spans="1:5" x14ac:dyDescent="0.25">
      <c r="A1752" s="183" t="s">
        <v>237</v>
      </c>
      <c r="B1752" s="415">
        <f>VLOOKUP(B1731,'BANG LUONG 1'!$B$5:$AJ$56,26,0)</f>
        <v>4545049.4333791202</v>
      </c>
      <c r="C1752" s="421">
        <v>24</v>
      </c>
      <c r="D1752" s="41"/>
    </row>
    <row r="1753" spans="1:5" x14ac:dyDescent="0.25">
      <c r="A1753" s="421" t="s">
        <v>545</v>
      </c>
      <c r="B1753" s="412">
        <f>VLOOKUP(B1731,'BANG LUONG 1'!$B$5:$AJ$56,27,0)</f>
        <v>4000000</v>
      </c>
      <c r="C1753" s="421">
        <v>25</v>
      </c>
      <c r="D1753" s="41"/>
    </row>
    <row r="1754" spans="1:5" x14ac:dyDescent="0.25">
      <c r="A1754" s="421" t="s">
        <v>544</v>
      </c>
      <c r="B1754" s="412">
        <f>VLOOKUP(B1731,'BANG LUONG 1'!$B$5:$AJ$56,28,0)</f>
        <v>480585</v>
      </c>
      <c r="C1754" s="421">
        <v>26</v>
      </c>
      <c r="D1754" s="41"/>
    </row>
    <row r="1755" spans="1:5" x14ac:dyDescent="0.25">
      <c r="A1755" s="421" t="s">
        <v>712</v>
      </c>
      <c r="B1755" s="415">
        <f>VLOOKUP(B1731,'BANG LUONG 1'!$B$5:$AJ$56,32,0)</f>
        <v>0</v>
      </c>
      <c r="C1755" s="421"/>
      <c r="D1755" s="41"/>
    </row>
    <row r="1756" spans="1:5" x14ac:dyDescent="0.25">
      <c r="A1756" s="421" t="s">
        <v>713</v>
      </c>
      <c r="B1756" s="415">
        <f>VLOOKUP(B1731,'BANG LUONG 1'!$B$5:$AJ$56,33,0)</f>
        <v>44000</v>
      </c>
      <c r="C1756" s="421"/>
      <c r="D1756" s="41"/>
    </row>
    <row r="1757" spans="1:5" x14ac:dyDescent="0.25">
      <c r="A1757" s="183" t="s">
        <v>707</v>
      </c>
      <c r="B1757" s="415">
        <f>VLOOKUP(B1731,'BANG LUONG 1'!$B$5:$AJ$56,34,0)</f>
        <v>0</v>
      </c>
      <c r="C1757" s="421"/>
      <c r="D1757" s="41"/>
      <c r="E1757" s="108" t="str">
        <f>B1732</f>
        <v>Lê Minh Trọng</v>
      </c>
    </row>
    <row r="1758" spans="1:5" x14ac:dyDescent="0.25">
      <c r="A1758" s="183" t="s">
        <v>546</v>
      </c>
      <c r="B1758" s="415">
        <f>VLOOKUP(B1731,'BANG LUONG 1'!$B$5:$AJ$56,35,0)</f>
        <v>208000</v>
      </c>
      <c r="C1758" s="421"/>
      <c r="D1758" s="41"/>
    </row>
    <row r="1759" spans="1:5" x14ac:dyDescent="0.25">
      <c r="A1759" s="183"/>
      <c r="B1759" s="412"/>
      <c r="C1759" s="421">
        <v>27</v>
      </c>
      <c r="D1759" s="185"/>
    </row>
    <row r="1760" spans="1:5" x14ac:dyDescent="0.25">
      <c r="A1760" s="184" t="s">
        <v>549</v>
      </c>
      <c r="B1760" s="424">
        <f>'BANG LUONG 1'!$P$3</f>
        <v>43733</v>
      </c>
    </row>
    <row r="1761" spans="1:4" x14ac:dyDescent="0.25">
      <c r="A1761" s="183" t="s">
        <v>1</v>
      </c>
      <c r="B1761" s="185" t="s">
        <v>148</v>
      </c>
      <c r="C1761" s="421">
        <v>1</v>
      </c>
      <c r="D1761" s="41"/>
    </row>
    <row r="1762" spans="1:4" x14ac:dyDescent="0.25">
      <c r="A1762" s="183" t="s">
        <v>2</v>
      </c>
      <c r="B1762" s="185" t="str">
        <f>VLOOKUP($B1761,'BANG LUONG 1'!$B$6:$AB$50,C1762,0)</f>
        <v>Nguyễn Văn Lâm</v>
      </c>
      <c r="C1762" s="421">
        <v>2</v>
      </c>
      <c r="D1762" s="41"/>
    </row>
    <row r="1763" spans="1:4" x14ac:dyDescent="0.25">
      <c r="A1763" s="421" t="s">
        <v>3</v>
      </c>
      <c r="B1763" s="41" t="str">
        <f>VLOOKUP($B1761,'BANG LUONG 1'!$B$6:$AJ$48,C1763,0)</f>
        <v>Lái xe cơ giới</v>
      </c>
      <c r="C1763" s="421">
        <v>3</v>
      </c>
      <c r="D1763" s="41"/>
    </row>
    <row r="1764" spans="1:4" x14ac:dyDescent="0.25">
      <c r="A1764" s="421" t="s">
        <v>376</v>
      </c>
      <c r="B1764" s="410">
        <f>VLOOKUP($B1761,'BANG LUONG 1'!$B$5:$AJ$56,4,0)</f>
        <v>41956</v>
      </c>
      <c r="C1764" s="421">
        <v>4</v>
      </c>
      <c r="D1764" s="41"/>
    </row>
    <row r="1765" spans="1:4" x14ac:dyDescent="0.25">
      <c r="A1765" s="421" t="s">
        <v>698</v>
      </c>
      <c r="B1765" s="411">
        <f>VLOOKUP(B1761,'BANG LUONG 1'!$B$5:$AJ$56,6,0)</f>
        <v>0.04</v>
      </c>
      <c r="C1765" s="421">
        <v>5</v>
      </c>
      <c r="D1765" s="41"/>
    </row>
    <row r="1766" spans="1:4" x14ac:dyDescent="0.25">
      <c r="A1766" s="421" t="s">
        <v>229</v>
      </c>
      <c r="B1766" s="412">
        <f>'thang luong moi'!$F$5</f>
        <v>4012500</v>
      </c>
      <c r="C1766" s="421">
        <v>6</v>
      </c>
      <c r="D1766" s="41"/>
    </row>
    <row r="1767" spans="1:4" x14ac:dyDescent="0.25">
      <c r="A1767" s="421" t="s">
        <v>217</v>
      </c>
      <c r="B1767" s="412" t="str">
        <f>VLOOKUP(B1761,'BANG LUONG 1'!$B$5:$AJ$56,8,0)</f>
        <v>B.02</v>
      </c>
      <c r="C1767" s="421">
        <v>7</v>
      </c>
      <c r="D1767" s="41"/>
    </row>
    <row r="1768" spans="1:4" x14ac:dyDescent="0.25">
      <c r="A1768" s="421" t="s">
        <v>230</v>
      </c>
      <c r="B1768" s="412">
        <f>VLOOKUP(B1761,'BANG LUONG 1'!$B$5:$AJ$56,9,0)</f>
        <v>1</v>
      </c>
      <c r="C1768" s="421">
        <v>8</v>
      </c>
      <c r="D1768" s="41"/>
    </row>
    <row r="1769" spans="1:4" x14ac:dyDescent="0.25">
      <c r="A1769" s="421" t="s">
        <v>538</v>
      </c>
      <c r="B1769" s="412">
        <f>VLOOKUP(B1761,'BANG LUONG 1'!$B$5:$AJ$56,11,0)</f>
        <v>4413750</v>
      </c>
      <c r="C1769" s="421">
        <v>9</v>
      </c>
      <c r="D1769" s="41"/>
    </row>
    <row r="1770" spans="1:4" x14ac:dyDescent="0.25">
      <c r="A1770" s="421" t="s">
        <v>354</v>
      </c>
      <c r="B1770" s="412">
        <f>VLOOKUP(B1761,'BANG LUONG 1'!$B$5:$AJ$56,12,0)</f>
        <v>22</v>
      </c>
      <c r="C1770" s="421">
        <v>10</v>
      </c>
      <c r="D1770" s="41"/>
    </row>
    <row r="1771" spans="1:4" x14ac:dyDescent="0.25">
      <c r="A1771" s="421" t="s">
        <v>534</v>
      </c>
      <c r="B1771" s="412">
        <f>VLOOKUP(B1761,'BANG LUONG 1'!$B$5:$AJ$56,13,0)</f>
        <v>3734711.538461538</v>
      </c>
      <c r="C1771" s="421">
        <v>11</v>
      </c>
      <c r="D1771" s="41"/>
    </row>
    <row r="1772" spans="1:4" x14ac:dyDescent="0.25">
      <c r="A1772" s="421" t="s">
        <v>592</v>
      </c>
      <c r="B1772" s="412">
        <f>VLOOKUP(B1761,'BANG LUONG 1'!$B$5:$AJ$56,14,0)</f>
        <v>4</v>
      </c>
      <c r="C1772" s="421">
        <v>12</v>
      </c>
      <c r="D1772" s="41">
        <f>B1769/26*B1772</f>
        <v>679038.4615384615</v>
      </c>
    </row>
    <row r="1773" spans="1:4" x14ac:dyDescent="0.25">
      <c r="A1773" s="421" t="s">
        <v>357</v>
      </c>
      <c r="B1773" s="412">
        <f>VLOOKUP(B1761,'BANG LUONG 1'!$B$5:$AJ$56,15,0)</f>
        <v>32</v>
      </c>
      <c r="C1773" s="421">
        <v>13</v>
      </c>
      <c r="D1773" s="41">
        <f>B1769/26/8*1.5*B1773</f>
        <v>1018557.6923076923</v>
      </c>
    </row>
    <row r="1774" spans="1:4" x14ac:dyDescent="0.25">
      <c r="A1774" s="421" t="s">
        <v>387</v>
      </c>
      <c r="B1774" s="412">
        <f>VLOOKUP(B1761,'BANG LUONG 1'!$B$5:$AJ$56,16,0)</f>
        <v>8</v>
      </c>
      <c r="C1774" s="421">
        <v>14</v>
      </c>
      <c r="D1774" s="41">
        <f>B1769/26/8*2*B1774</f>
        <v>339519.23076923075</v>
      </c>
    </row>
    <row r="1775" spans="1:4" x14ac:dyDescent="0.25">
      <c r="A1775" s="421" t="s">
        <v>593</v>
      </c>
      <c r="B1775" s="412">
        <f>VLOOKUP(B1761,'BANG LUONG 1'!$B$5:$AJ$56,17,0)</f>
        <v>1</v>
      </c>
      <c r="C1775" s="421"/>
      <c r="D1775" s="41">
        <f>(B1769/26)*B1775</f>
        <v>169759.61538461538</v>
      </c>
    </row>
    <row r="1776" spans="1:4" x14ac:dyDescent="0.25">
      <c r="A1776" s="421" t="s">
        <v>388</v>
      </c>
      <c r="B1776" s="412">
        <f>VLOOKUP(B1761,'BANG LUONG 1'!$B$5:$AJ$56,18,0)</f>
        <v>0</v>
      </c>
      <c r="C1776" s="421">
        <v>15</v>
      </c>
      <c r="D1776" s="41">
        <f>(B1769/26*B1776)*3</f>
        <v>0</v>
      </c>
    </row>
    <row r="1777" spans="1:5" x14ac:dyDescent="0.25">
      <c r="A1777" s="421" t="s">
        <v>533</v>
      </c>
      <c r="B1777" s="412">
        <f>VLOOKUP(B1761,'BANG LUONG 1'!$B$5:$AJ$56,19,0)</f>
        <v>5941586.538461538</v>
      </c>
      <c r="C1777" s="183">
        <v>16</v>
      </c>
      <c r="D1777" s="185">
        <f>B1771+D1773+D1774+D1772+D1776+D1775</f>
        <v>5941586.5384615371</v>
      </c>
      <c r="E1777" s="108"/>
    </row>
    <row r="1778" spans="1:5" x14ac:dyDescent="0.25">
      <c r="A1778" s="421" t="s">
        <v>535</v>
      </c>
      <c r="B1778" s="412">
        <f>VLOOKUP(B1761,'BANG LUONG 1'!$B$5:$AJ$56,20,0)</f>
        <v>3676905.41601256</v>
      </c>
      <c r="C1778" s="421">
        <v>17</v>
      </c>
      <c r="D1778" s="41"/>
    </row>
    <row r="1779" spans="1:5" x14ac:dyDescent="0.25">
      <c r="A1779" s="421" t="s">
        <v>370</v>
      </c>
      <c r="B1779" s="412">
        <f>VLOOKUP(B1761,'BANG LUONG 1'!$B$5:$AJ$56,22,0)</f>
        <v>176550</v>
      </c>
      <c r="C1779" s="421">
        <v>18</v>
      </c>
      <c r="D1779" s="41"/>
    </row>
    <row r="1780" spans="1:5" x14ac:dyDescent="0.25">
      <c r="A1780" s="421" t="s">
        <v>371</v>
      </c>
      <c r="B1780" s="412">
        <f>VLOOKUP(B1761,'BANG LUONG 1'!$B$5:$AJ$56,23,0)</f>
        <v>75000</v>
      </c>
      <c r="C1780" s="421">
        <v>19</v>
      </c>
      <c r="D1780" s="41"/>
    </row>
    <row r="1781" spans="1:5" x14ac:dyDescent="0.25">
      <c r="A1781" s="421" t="s">
        <v>560</v>
      </c>
      <c r="B1781" s="412">
        <f>VLOOKUP(B1761,'BANG LUONG 1'!$B$5:$AJ$56,24,0)</f>
        <v>0</v>
      </c>
      <c r="C1781" s="421">
        <v>22</v>
      </c>
      <c r="D1781" s="41"/>
    </row>
    <row r="1782" spans="1:5" x14ac:dyDescent="0.25">
      <c r="A1782" s="183" t="s">
        <v>237</v>
      </c>
      <c r="B1782" s="415">
        <f>VLOOKUP(B1761,'BANG LUONG 1'!$B$5:$AJ$56,26,0)</f>
        <v>9870041.954474099</v>
      </c>
      <c r="C1782" s="421">
        <v>24</v>
      </c>
      <c r="D1782" s="41"/>
    </row>
    <row r="1783" spans="1:5" x14ac:dyDescent="0.25">
      <c r="A1783" s="421" t="s">
        <v>545</v>
      </c>
      <c r="B1783" s="412">
        <f>VLOOKUP(B1761,'BANG LUONG 1'!$B$5:$AJ$56,27,0)</f>
        <v>3500000</v>
      </c>
      <c r="C1783" s="421">
        <v>25</v>
      </c>
      <c r="D1783" s="41"/>
    </row>
    <row r="1784" spans="1:5" x14ac:dyDescent="0.25">
      <c r="A1784" s="421" t="s">
        <v>544</v>
      </c>
      <c r="B1784" s="412">
        <f>VLOOKUP(B1761,'BANG LUONG 1'!$B$5:$AJ$56,28,0)</f>
        <v>480585</v>
      </c>
      <c r="C1784" s="421">
        <v>26</v>
      </c>
      <c r="D1784" s="41"/>
    </row>
    <row r="1785" spans="1:5" x14ac:dyDescent="0.25">
      <c r="A1785" s="421" t="s">
        <v>712</v>
      </c>
      <c r="B1785" s="415">
        <f>VLOOKUP(B1761,'BANG LUONG 1'!$B$5:$AJ$56,32,0)</f>
        <v>0</v>
      </c>
      <c r="C1785" s="421"/>
      <c r="D1785" s="41"/>
    </row>
    <row r="1786" spans="1:5" x14ac:dyDescent="0.25">
      <c r="A1786" s="421" t="s">
        <v>713</v>
      </c>
      <c r="B1786" s="415">
        <f>VLOOKUP(B1761,'BANG LUONG 1'!$B$5:$AJ$56,33,0)</f>
        <v>154000</v>
      </c>
      <c r="C1786" s="421"/>
      <c r="D1786" s="41"/>
    </row>
    <row r="1787" spans="1:5" x14ac:dyDescent="0.25">
      <c r="A1787" s="183" t="s">
        <v>707</v>
      </c>
      <c r="B1787" s="415">
        <f>VLOOKUP(B1761,'BANG LUONG 1'!$B$5:$AJ$56,34,0)</f>
        <v>0</v>
      </c>
      <c r="C1787" s="421"/>
      <c r="D1787" s="41"/>
      <c r="E1787" s="108" t="str">
        <f>B1762</f>
        <v>Nguyễn Văn Lâm</v>
      </c>
    </row>
    <row r="1788" spans="1:5" x14ac:dyDescent="0.25">
      <c r="A1788" s="183" t="s">
        <v>546</v>
      </c>
      <c r="B1788" s="415">
        <f>VLOOKUP(B1761,'BANG LUONG 1'!$B$5:$AJ$56,35,0)</f>
        <v>6143000</v>
      </c>
      <c r="C1788" s="421"/>
      <c r="D1788" s="41"/>
    </row>
    <row r="1789" spans="1:5" x14ac:dyDescent="0.25">
      <c r="A1789" s="183"/>
      <c r="B1789" s="412"/>
      <c r="C1789" s="421">
        <v>27</v>
      </c>
      <c r="D1789" s="185"/>
    </row>
    <row r="1790" spans="1:5" x14ac:dyDescent="0.25">
      <c r="A1790" s="184" t="s">
        <v>549</v>
      </c>
      <c r="B1790" s="424">
        <f>'BANG LUONG 1'!$P$3</f>
        <v>43733</v>
      </c>
    </row>
    <row r="1791" spans="1:5" x14ac:dyDescent="0.25">
      <c r="A1791" s="183" t="s">
        <v>1</v>
      </c>
      <c r="B1791" s="185" t="s">
        <v>148</v>
      </c>
      <c r="C1791" s="421">
        <v>1</v>
      </c>
      <c r="D1791" s="41"/>
    </row>
    <row r="1792" spans="1:5" x14ac:dyDescent="0.25">
      <c r="A1792" s="183" t="s">
        <v>2</v>
      </c>
      <c r="B1792" s="185" t="str">
        <f>VLOOKUP($B1791,'BANG LUONG 1'!$B$6:$AB$50,C1792,0)</f>
        <v>Nguyễn Văn Lâm</v>
      </c>
      <c r="C1792" s="421">
        <v>2</v>
      </c>
      <c r="D1792" s="41"/>
    </row>
    <row r="1793" spans="1:5" x14ac:dyDescent="0.25">
      <c r="A1793" s="421" t="s">
        <v>3</v>
      </c>
      <c r="B1793" s="41" t="str">
        <f>VLOOKUP($B1791,'BANG LUONG 1'!$B$6:$AJ$48,C1793,0)</f>
        <v>Lái xe cơ giới</v>
      </c>
      <c r="C1793" s="421">
        <v>3</v>
      </c>
      <c r="D1793" s="41"/>
    </row>
    <row r="1794" spans="1:5" x14ac:dyDescent="0.25">
      <c r="A1794" s="421" t="s">
        <v>376</v>
      </c>
      <c r="B1794" s="410">
        <f>VLOOKUP($B1791,'BANG LUONG 1'!$B$5:$AJ$56,4,0)</f>
        <v>41956</v>
      </c>
      <c r="C1794" s="421">
        <v>4</v>
      </c>
      <c r="D1794" s="41"/>
    </row>
    <row r="1795" spans="1:5" x14ac:dyDescent="0.25">
      <c r="A1795" s="421" t="s">
        <v>698</v>
      </c>
      <c r="B1795" s="411">
        <f>VLOOKUP(B1791,'BANG LUONG 1'!$B$5:$AJ$56,6,0)</f>
        <v>0.04</v>
      </c>
      <c r="C1795" s="421">
        <v>5</v>
      </c>
      <c r="D1795" s="41"/>
    </row>
    <row r="1796" spans="1:5" x14ac:dyDescent="0.25">
      <c r="A1796" s="421" t="s">
        <v>229</v>
      </c>
      <c r="B1796" s="412">
        <f>'thang luong moi'!$F$5</f>
        <v>4012500</v>
      </c>
      <c r="C1796" s="421">
        <v>6</v>
      </c>
      <c r="D1796" s="41"/>
    </row>
    <row r="1797" spans="1:5" x14ac:dyDescent="0.25">
      <c r="A1797" s="421" t="s">
        <v>217</v>
      </c>
      <c r="B1797" s="412" t="str">
        <f>VLOOKUP(B1791,'BANG LUONG 1'!$B$5:$AJ$56,8,0)</f>
        <v>B.02</v>
      </c>
      <c r="C1797" s="421">
        <v>7</v>
      </c>
      <c r="D1797" s="41"/>
    </row>
    <row r="1798" spans="1:5" x14ac:dyDescent="0.25">
      <c r="A1798" s="421" t="s">
        <v>230</v>
      </c>
      <c r="B1798" s="412">
        <f>VLOOKUP(B1791,'BANG LUONG 1'!$B$5:$AJ$56,9,0)</f>
        <v>1</v>
      </c>
      <c r="C1798" s="421">
        <v>8</v>
      </c>
      <c r="D1798" s="41"/>
    </row>
    <row r="1799" spans="1:5" x14ac:dyDescent="0.25">
      <c r="A1799" s="421" t="s">
        <v>538</v>
      </c>
      <c r="B1799" s="412">
        <f>VLOOKUP(B1791,'BANG LUONG 1'!$B$5:$AJ$56,11,0)</f>
        <v>4413750</v>
      </c>
      <c r="C1799" s="421">
        <v>9</v>
      </c>
      <c r="D1799" s="41"/>
    </row>
    <row r="1800" spans="1:5" x14ac:dyDescent="0.25">
      <c r="A1800" s="421" t="s">
        <v>354</v>
      </c>
      <c r="B1800" s="412">
        <f>VLOOKUP(B1791,'BANG LUONG 1'!$B$5:$AJ$56,12,0)</f>
        <v>22</v>
      </c>
      <c r="C1800" s="421">
        <v>10</v>
      </c>
      <c r="D1800" s="41"/>
    </row>
    <row r="1801" spans="1:5" x14ac:dyDescent="0.25">
      <c r="A1801" s="421" t="s">
        <v>534</v>
      </c>
      <c r="B1801" s="412">
        <f>VLOOKUP(B1791,'BANG LUONG 1'!$B$5:$AJ$56,13,0)</f>
        <v>3734711.538461538</v>
      </c>
      <c r="C1801" s="421">
        <v>11</v>
      </c>
      <c r="D1801" s="41"/>
    </row>
    <row r="1802" spans="1:5" x14ac:dyDescent="0.25">
      <c r="A1802" s="421" t="s">
        <v>592</v>
      </c>
      <c r="B1802" s="412">
        <f>VLOOKUP(B1791,'BANG LUONG 1'!$B$5:$AJ$56,14,0)</f>
        <v>4</v>
      </c>
      <c r="C1802" s="421">
        <v>12</v>
      </c>
      <c r="D1802" s="41">
        <f>B1799/26*B1802</f>
        <v>679038.4615384615</v>
      </c>
    </row>
    <row r="1803" spans="1:5" x14ac:dyDescent="0.25">
      <c r="A1803" s="421" t="s">
        <v>357</v>
      </c>
      <c r="B1803" s="412">
        <f>VLOOKUP(B1791,'BANG LUONG 1'!$B$5:$AJ$56,15,0)</f>
        <v>32</v>
      </c>
      <c r="C1803" s="421">
        <v>13</v>
      </c>
      <c r="D1803" s="41">
        <f>B1799/26/8*1.5*B1803</f>
        <v>1018557.6923076923</v>
      </c>
    </row>
    <row r="1804" spans="1:5" x14ac:dyDescent="0.25">
      <c r="A1804" s="421" t="s">
        <v>387</v>
      </c>
      <c r="B1804" s="412">
        <f>VLOOKUP(B1791,'BANG LUONG 1'!$B$5:$AJ$56,16,0)</f>
        <v>8</v>
      </c>
      <c r="C1804" s="421">
        <v>14</v>
      </c>
      <c r="D1804" s="41">
        <f>B1799/26/8*2*B1804</f>
        <v>339519.23076923075</v>
      </c>
    </row>
    <row r="1805" spans="1:5" x14ac:dyDescent="0.25">
      <c r="A1805" s="421" t="s">
        <v>593</v>
      </c>
      <c r="B1805" s="412">
        <f>VLOOKUP(B1791,'BANG LUONG 1'!$B$5:$AJ$56,17,0)</f>
        <v>1</v>
      </c>
      <c r="C1805" s="421"/>
      <c r="D1805" s="41">
        <f>(B1799/26)*B1805</f>
        <v>169759.61538461538</v>
      </c>
    </row>
    <row r="1806" spans="1:5" x14ac:dyDescent="0.25">
      <c r="A1806" s="421" t="s">
        <v>388</v>
      </c>
      <c r="B1806" s="412">
        <f>VLOOKUP(B1791,'BANG LUONG 1'!$B$5:$AJ$56,18,0)</f>
        <v>0</v>
      </c>
      <c r="C1806" s="421">
        <v>15</v>
      </c>
      <c r="D1806" s="41">
        <f>(B1799/26*B1806)*3</f>
        <v>0</v>
      </c>
    </row>
    <row r="1807" spans="1:5" x14ac:dyDescent="0.25">
      <c r="A1807" s="421" t="s">
        <v>533</v>
      </c>
      <c r="B1807" s="412">
        <f>VLOOKUP(B1791,'BANG LUONG 1'!$B$5:$AJ$56,19,0)</f>
        <v>5941586.538461538</v>
      </c>
      <c r="C1807" s="183">
        <v>16</v>
      </c>
      <c r="D1807" s="185">
        <f>B1801+D1803+D1804+D1802+D1806+D1805</f>
        <v>5941586.5384615371</v>
      </c>
      <c r="E1807" s="108"/>
    </row>
    <row r="1808" spans="1:5" x14ac:dyDescent="0.25">
      <c r="A1808" s="421" t="s">
        <v>535</v>
      </c>
      <c r="B1808" s="412">
        <f>VLOOKUP(B1791,'BANG LUONG 1'!$B$5:$AJ$56,20,0)</f>
        <v>3676905.41601256</v>
      </c>
      <c r="C1808" s="421">
        <v>17</v>
      </c>
      <c r="D1808" s="41"/>
    </row>
    <row r="1809" spans="1:5" x14ac:dyDescent="0.25">
      <c r="A1809" s="421" t="s">
        <v>370</v>
      </c>
      <c r="B1809" s="412">
        <f>VLOOKUP(B1791,'BANG LUONG 1'!$B$5:$AJ$56,22,0)</f>
        <v>176550</v>
      </c>
      <c r="C1809" s="421">
        <v>18</v>
      </c>
      <c r="D1809" s="41"/>
    </row>
    <row r="1810" spans="1:5" x14ac:dyDescent="0.25">
      <c r="A1810" s="421" t="s">
        <v>371</v>
      </c>
      <c r="B1810" s="412">
        <f>VLOOKUP(B1791,'BANG LUONG 1'!$B$5:$AJ$56,23,0)</f>
        <v>75000</v>
      </c>
      <c r="C1810" s="421">
        <v>19</v>
      </c>
      <c r="D1810" s="41"/>
    </row>
    <row r="1811" spans="1:5" x14ac:dyDescent="0.25">
      <c r="A1811" s="421" t="s">
        <v>560</v>
      </c>
      <c r="B1811" s="412">
        <f>VLOOKUP(B1791,'BANG LUONG 1'!$B$5:$AJ$56,24,0)</f>
        <v>0</v>
      </c>
      <c r="C1811" s="421">
        <v>22</v>
      </c>
      <c r="D1811" s="41"/>
    </row>
    <row r="1812" spans="1:5" x14ac:dyDescent="0.25">
      <c r="A1812" s="183" t="s">
        <v>237</v>
      </c>
      <c r="B1812" s="415">
        <f>VLOOKUP(B1791,'BANG LUONG 1'!$B$5:$AJ$56,26,0)</f>
        <v>9870041.954474099</v>
      </c>
      <c r="C1812" s="421">
        <v>24</v>
      </c>
      <c r="D1812" s="41"/>
    </row>
    <row r="1813" spans="1:5" x14ac:dyDescent="0.25">
      <c r="A1813" s="421" t="s">
        <v>545</v>
      </c>
      <c r="B1813" s="412">
        <f>VLOOKUP(B1791,'BANG LUONG 1'!$B$5:$AJ$56,27,0)</f>
        <v>3500000</v>
      </c>
      <c r="C1813" s="421">
        <v>25</v>
      </c>
      <c r="D1813" s="41"/>
    </row>
    <row r="1814" spans="1:5" x14ac:dyDescent="0.25">
      <c r="A1814" s="421" t="s">
        <v>544</v>
      </c>
      <c r="B1814" s="412">
        <f>VLOOKUP(B1791,'BANG LUONG 1'!$B$5:$AJ$56,28,0)</f>
        <v>480585</v>
      </c>
      <c r="C1814" s="421">
        <v>26</v>
      </c>
      <c r="D1814" s="41"/>
    </row>
    <row r="1815" spans="1:5" x14ac:dyDescent="0.25">
      <c r="A1815" s="421" t="s">
        <v>712</v>
      </c>
      <c r="B1815" s="415">
        <f>VLOOKUP(B1791,'BANG LUONG 1'!$B$5:$AJ$56,32,0)</f>
        <v>0</v>
      </c>
      <c r="C1815" s="421"/>
      <c r="D1815" s="41"/>
    </row>
    <row r="1816" spans="1:5" x14ac:dyDescent="0.25">
      <c r="A1816" s="421" t="s">
        <v>713</v>
      </c>
      <c r="B1816" s="415">
        <f>VLOOKUP(B1791,'BANG LUONG 1'!$B$5:$AJ$56,33,0)</f>
        <v>154000</v>
      </c>
      <c r="C1816" s="421"/>
      <c r="D1816" s="41"/>
    </row>
    <row r="1817" spans="1:5" x14ac:dyDescent="0.25">
      <c r="A1817" s="183" t="s">
        <v>707</v>
      </c>
      <c r="B1817" s="415">
        <f>VLOOKUP(B1791,'BANG LUONG 1'!$B$5:$AJ$56,34,0)</f>
        <v>0</v>
      </c>
      <c r="C1817" s="421"/>
      <c r="D1817" s="41"/>
      <c r="E1817" s="108" t="str">
        <f>B1792</f>
        <v>Nguyễn Văn Lâm</v>
      </c>
    </row>
    <row r="1818" spans="1:5" x14ac:dyDescent="0.25">
      <c r="A1818" s="183" t="s">
        <v>546</v>
      </c>
      <c r="B1818" s="415">
        <f>VLOOKUP(B1791,'BANG LUONG 1'!$B$5:$AJ$56,35,0)</f>
        <v>6143000</v>
      </c>
      <c r="C1818" s="421"/>
      <c r="D1818" s="41"/>
    </row>
    <row r="1819" spans="1:5" x14ac:dyDescent="0.25">
      <c r="A1819" s="183"/>
      <c r="B1819" s="412"/>
      <c r="C1819" s="421">
        <v>27</v>
      </c>
      <c r="D1819" s="185"/>
    </row>
    <row r="1820" spans="1:5" x14ac:dyDescent="0.25">
      <c r="A1820" s="184" t="s">
        <v>549</v>
      </c>
      <c r="B1820" s="424">
        <f>'BANG LUONG 1'!$P$3</f>
        <v>43733</v>
      </c>
    </row>
    <row r="1821" spans="1:5" x14ac:dyDescent="0.25">
      <c r="A1821" s="183" t="s">
        <v>1</v>
      </c>
      <c r="B1821" s="185" t="s">
        <v>149</v>
      </c>
      <c r="C1821" s="421">
        <v>1</v>
      </c>
      <c r="D1821" s="41"/>
    </row>
    <row r="1822" spans="1:5" x14ac:dyDescent="0.25">
      <c r="A1822" s="183" t="s">
        <v>2</v>
      </c>
      <c r="B1822" s="185" t="str">
        <f>VLOOKUP($B1821,'BANG LUONG 1'!$B$6:$AB$48,C1822,0)</f>
        <v>Lương Minh Tâm</v>
      </c>
      <c r="C1822" s="421">
        <v>2</v>
      </c>
      <c r="D1822" s="41"/>
    </row>
    <row r="1823" spans="1:5" x14ac:dyDescent="0.25">
      <c r="A1823" s="421" t="s">
        <v>3</v>
      </c>
      <c r="B1823" s="41" t="str">
        <f>VLOOKUP($B1821,'BANG LUONG 1'!$B$6:$AJ$48,C1823,0)</f>
        <v>Vận hành xe xúc BH</v>
      </c>
      <c r="C1823" s="421">
        <v>3</v>
      </c>
      <c r="D1823" s="41"/>
    </row>
    <row r="1824" spans="1:5" x14ac:dyDescent="0.25">
      <c r="A1824" s="421" t="s">
        <v>376</v>
      </c>
      <c r="B1824" s="410">
        <f>VLOOKUP($B1821,'BANG LUONG 1'!$B$5:$AJ$56,4,0)</f>
        <v>42766</v>
      </c>
      <c r="C1824" s="421">
        <v>4</v>
      </c>
      <c r="D1824" s="41"/>
    </row>
    <row r="1825" spans="1:5" x14ac:dyDescent="0.25">
      <c r="A1825" s="421" t="s">
        <v>698</v>
      </c>
      <c r="B1825" s="411">
        <f>VLOOKUP(B1821,'BANG LUONG 1'!$B$5:$AJ$56,6,0)</f>
        <v>0</v>
      </c>
      <c r="C1825" s="421">
        <v>5</v>
      </c>
      <c r="D1825" s="41"/>
    </row>
    <row r="1826" spans="1:5" x14ac:dyDescent="0.25">
      <c r="A1826" s="421" t="s">
        <v>229</v>
      </c>
      <c r="B1826" s="412">
        <f>'thang luong moi'!$F$5</f>
        <v>4012500</v>
      </c>
      <c r="C1826" s="421">
        <v>6</v>
      </c>
      <c r="D1826" s="41"/>
    </row>
    <row r="1827" spans="1:5" x14ac:dyDescent="0.25">
      <c r="A1827" s="421" t="s">
        <v>217</v>
      </c>
      <c r="B1827" s="412" t="str">
        <f>VLOOKUP(B1821,'BANG LUONG 1'!$B$5:$AJ$56,8,0)</f>
        <v>B.02</v>
      </c>
      <c r="C1827" s="421">
        <v>7</v>
      </c>
      <c r="D1827" s="41"/>
    </row>
    <row r="1828" spans="1:5" x14ac:dyDescent="0.25">
      <c r="A1828" s="421" t="s">
        <v>230</v>
      </c>
      <c r="B1828" s="412">
        <f>VLOOKUP(B1821,'BANG LUONG 1'!$B$5:$AJ$56,9,0)</f>
        <v>1</v>
      </c>
      <c r="C1828" s="421">
        <v>8</v>
      </c>
      <c r="D1828" s="41"/>
    </row>
    <row r="1829" spans="1:5" x14ac:dyDescent="0.25">
      <c r="A1829" s="421" t="s">
        <v>538</v>
      </c>
      <c r="B1829" s="412">
        <f>VLOOKUP(B1821,'BANG LUONG 1'!$B$5:$AJ$56,11,0)</f>
        <v>4413750</v>
      </c>
      <c r="C1829" s="421">
        <v>9</v>
      </c>
      <c r="D1829" s="41"/>
    </row>
    <row r="1830" spans="1:5" x14ac:dyDescent="0.25">
      <c r="A1830" s="421" t="s">
        <v>354</v>
      </c>
      <c r="B1830" s="412">
        <f>VLOOKUP(B1821,'BANG LUONG 1'!$B$5:$AJ$56,12,0)</f>
        <v>25</v>
      </c>
      <c r="C1830" s="421">
        <v>10</v>
      </c>
      <c r="D1830" s="41"/>
    </row>
    <row r="1831" spans="1:5" x14ac:dyDescent="0.25">
      <c r="A1831" s="421" t="s">
        <v>534</v>
      </c>
      <c r="B1831" s="412">
        <f>VLOOKUP(B1821,'BANG LUONG 1'!$B$5:$AJ$56,13,0)</f>
        <v>4243990.384615384</v>
      </c>
      <c r="C1831" s="421">
        <v>11</v>
      </c>
      <c r="D1831" s="41"/>
    </row>
    <row r="1832" spans="1:5" x14ac:dyDescent="0.25">
      <c r="A1832" s="421" t="s">
        <v>592</v>
      </c>
      <c r="B1832" s="412">
        <f>VLOOKUP(B1821,'BANG LUONG 1'!$B$5:$AJ$56,14,0)</f>
        <v>1</v>
      </c>
      <c r="C1832" s="421">
        <v>12</v>
      </c>
      <c r="D1832" s="41">
        <f>B1829/26*B1832</f>
        <v>169759.61538461538</v>
      </c>
    </row>
    <row r="1833" spans="1:5" x14ac:dyDescent="0.25">
      <c r="A1833" s="421" t="s">
        <v>357</v>
      </c>
      <c r="B1833" s="412">
        <f>VLOOKUP(B1821,'BANG LUONG 1'!$B$5:$AJ$56,15,0)</f>
        <v>61.5</v>
      </c>
      <c r="C1833" s="421">
        <v>13</v>
      </c>
      <c r="D1833" s="41">
        <f>B1829/26/8*1.5*B1833</f>
        <v>1957540.564903846</v>
      </c>
    </row>
    <row r="1834" spans="1:5" x14ac:dyDescent="0.25">
      <c r="A1834" s="421" t="s">
        <v>387</v>
      </c>
      <c r="B1834" s="412">
        <f>VLOOKUP(B1821,'BANG LUONG 1'!$B$5:$AJ$56,16,0)</f>
        <v>40</v>
      </c>
      <c r="C1834" s="421">
        <v>14</v>
      </c>
      <c r="D1834" s="41">
        <f>B1829/26/8*2*B1834</f>
        <v>1697596.1538461538</v>
      </c>
    </row>
    <row r="1835" spans="1:5" x14ac:dyDescent="0.25">
      <c r="A1835" s="421" t="s">
        <v>593</v>
      </c>
      <c r="B1835" s="412">
        <f>VLOOKUP(B1821,'BANG LUONG 1'!$B$5:$AJ$56,17,0)</f>
        <v>1</v>
      </c>
      <c r="C1835" s="421"/>
      <c r="D1835" s="41">
        <f>(B1829/26)*B1835</f>
        <v>169759.61538461538</v>
      </c>
    </row>
    <row r="1836" spans="1:5" x14ac:dyDescent="0.25">
      <c r="A1836" s="421" t="s">
        <v>388</v>
      </c>
      <c r="B1836" s="412">
        <f>VLOOKUP(B1821,'BANG LUONG 1'!$B$5:$AJ$56,18,0)</f>
        <v>0</v>
      </c>
      <c r="C1836" s="421">
        <v>15</v>
      </c>
      <c r="D1836" s="41">
        <f>(B1829/26*B1836)*3</f>
        <v>0</v>
      </c>
    </row>
    <row r="1837" spans="1:5" x14ac:dyDescent="0.25">
      <c r="A1837" s="421" t="s">
        <v>533</v>
      </c>
      <c r="B1837" s="412">
        <f>VLOOKUP(B1821,'BANG LUONG 1'!$B$5:$AJ$56,19,0)</f>
        <v>8238646.3341346141</v>
      </c>
      <c r="C1837" s="183">
        <v>16</v>
      </c>
      <c r="D1837" s="185">
        <f>B1831+D1833+D1834+D1832+D1836+D1835</f>
        <v>8238646.3341346141</v>
      </c>
      <c r="E1837" s="108"/>
    </row>
    <row r="1838" spans="1:5" x14ac:dyDescent="0.25">
      <c r="A1838" s="421" t="s">
        <v>535</v>
      </c>
      <c r="B1838" s="412">
        <f>VLOOKUP(B1821,'BANG LUONG 1'!$B$5:$AJ$56,20,0)</f>
        <v>6448405.2197802216</v>
      </c>
      <c r="C1838" s="421">
        <v>17</v>
      </c>
      <c r="D1838" s="41"/>
    </row>
    <row r="1839" spans="1:5" x14ac:dyDescent="0.25">
      <c r="A1839" s="421" t="s">
        <v>370</v>
      </c>
      <c r="B1839" s="412">
        <f>VLOOKUP(B1821,'BANG LUONG 1'!$B$5:$AJ$56,22,0)</f>
        <v>0</v>
      </c>
      <c r="C1839" s="421">
        <v>18</v>
      </c>
      <c r="D1839" s="41"/>
    </row>
    <row r="1840" spans="1:5" x14ac:dyDescent="0.25">
      <c r="A1840" s="421" t="s">
        <v>371</v>
      </c>
      <c r="B1840" s="412">
        <f>VLOOKUP(B1821,'BANG LUONG 1'!$B$5:$AJ$56,23,0)</f>
        <v>300000</v>
      </c>
      <c r="C1840" s="421">
        <v>19</v>
      </c>
      <c r="D1840" s="41"/>
    </row>
    <row r="1841" spans="1:5" x14ac:dyDescent="0.25">
      <c r="A1841" s="421" t="s">
        <v>560</v>
      </c>
      <c r="B1841" s="412">
        <f>VLOOKUP(B1821,'BANG LUONG 1'!$B$5:$AJ$56,24,0)</f>
        <v>0</v>
      </c>
      <c r="C1841" s="421">
        <v>22</v>
      </c>
      <c r="D1841" s="41"/>
    </row>
    <row r="1842" spans="1:5" x14ac:dyDescent="0.25">
      <c r="A1842" s="183" t="s">
        <v>237</v>
      </c>
      <c r="B1842" s="415">
        <f>VLOOKUP(B1821,'BANG LUONG 1'!$B$5:$AJ$56,26,0)</f>
        <v>14987051.553914836</v>
      </c>
      <c r="C1842" s="421">
        <v>24</v>
      </c>
      <c r="D1842" s="41"/>
    </row>
    <row r="1843" spans="1:5" x14ac:dyDescent="0.25">
      <c r="A1843" s="421" t="s">
        <v>545</v>
      </c>
      <c r="B1843" s="412">
        <f>VLOOKUP(B1821,'BANG LUONG 1'!$B$5:$AJ$56,27,0)</f>
        <v>4000000</v>
      </c>
      <c r="C1843" s="421">
        <v>25</v>
      </c>
      <c r="D1843" s="41"/>
    </row>
    <row r="1844" spans="1:5" x14ac:dyDescent="0.25">
      <c r="A1844" s="421" t="s">
        <v>544</v>
      </c>
      <c r="B1844" s="412">
        <f>VLOOKUP(B1821,'BANG LUONG 1'!$B$5:$AJ$56,28,0)</f>
        <v>480585</v>
      </c>
      <c r="C1844" s="421">
        <v>26</v>
      </c>
      <c r="D1844" s="41"/>
    </row>
    <row r="1845" spans="1:5" x14ac:dyDescent="0.25">
      <c r="A1845" s="421" t="s">
        <v>712</v>
      </c>
      <c r="B1845" s="415">
        <f>VLOOKUP(B1821,'BANG LUONG 1'!$B$5:$AJ$56,32,0)</f>
        <v>0</v>
      </c>
      <c r="C1845" s="421"/>
      <c r="D1845" s="41"/>
    </row>
    <row r="1846" spans="1:5" x14ac:dyDescent="0.25">
      <c r="A1846" s="421" t="s">
        <v>713</v>
      </c>
      <c r="B1846" s="415">
        <f>VLOOKUP(B1821,'BANG LUONG 1'!$B$5:$AJ$56,33,0)</f>
        <v>286000</v>
      </c>
      <c r="C1846" s="421"/>
      <c r="D1846" s="41"/>
    </row>
    <row r="1847" spans="1:5" x14ac:dyDescent="0.25">
      <c r="A1847" s="183" t="s">
        <v>707</v>
      </c>
      <c r="B1847" s="415">
        <f>VLOOKUP(B1821,'BANG LUONG 1'!$B$5:$AJ$56,34,0)</f>
        <v>0</v>
      </c>
      <c r="C1847" s="421"/>
      <c r="D1847" s="41"/>
      <c r="E1847" s="108" t="str">
        <f>B1822</f>
        <v>Lương Minh Tâm</v>
      </c>
    </row>
    <row r="1848" spans="1:5" x14ac:dyDescent="0.25">
      <c r="A1848" s="183" t="s">
        <v>546</v>
      </c>
      <c r="B1848" s="415">
        <f>VLOOKUP(B1821,'BANG LUONG 1'!$B$5:$AJ$56,35,0)</f>
        <v>10892000</v>
      </c>
      <c r="C1848" s="421"/>
      <c r="D1848" s="41"/>
    </row>
    <row r="1849" spans="1:5" x14ac:dyDescent="0.25">
      <c r="A1849" s="183"/>
      <c r="B1849" s="412"/>
      <c r="C1849" s="421">
        <v>27</v>
      </c>
      <c r="D1849" s="185"/>
    </row>
    <row r="1850" spans="1:5" x14ac:dyDescent="0.25">
      <c r="A1850" s="184" t="s">
        <v>549</v>
      </c>
      <c r="B1850" s="424">
        <f>'BANG LUONG 1'!$P$3</f>
        <v>43733</v>
      </c>
    </row>
    <row r="1851" spans="1:5" x14ac:dyDescent="0.25">
      <c r="A1851" s="183" t="s">
        <v>1</v>
      </c>
      <c r="B1851" s="185" t="s">
        <v>150</v>
      </c>
      <c r="C1851" s="421">
        <v>1</v>
      </c>
      <c r="D1851" s="41"/>
    </row>
    <row r="1852" spans="1:5" x14ac:dyDescent="0.25">
      <c r="A1852" s="183" t="s">
        <v>2</v>
      </c>
      <c r="B1852" s="185" t="str">
        <f>VLOOKUP($B1851,'BANG LUONG 1'!$B$6:$AB$48,C1852,0)</f>
        <v>Nguyễn Thành Tài</v>
      </c>
      <c r="C1852" s="421">
        <v>2</v>
      </c>
      <c r="D1852" s="41"/>
    </row>
    <row r="1853" spans="1:5" x14ac:dyDescent="0.25">
      <c r="A1853" s="421" t="s">
        <v>3</v>
      </c>
      <c r="B1853" s="41" t="str">
        <f>VLOOKUP($B1851,'BANG LUONG 1'!$B$6:$AJ$48,C1853,0)</f>
        <v>Lái xe nâng</v>
      </c>
      <c r="C1853" s="421">
        <v>3</v>
      </c>
      <c r="D1853" s="41"/>
    </row>
    <row r="1854" spans="1:5" x14ac:dyDescent="0.25">
      <c r="A1854" s="421" t="s">
        <v>376</v>
      </c>
      <c r="B1854" s="410">
        <f>VLOOKUP($B1851,'BANG LUONG 1'!$B$5:$AJ$56,4,0)</f>
        <v>42415</v>
      </c>
      <c r="C1854" s="421">
        <v>4</v>
      </c>
      <c r="D1854" s="41"/>
    </row>
    <row r="1855" spans="1:5" x14ac:dyDescent="0.25">
      <c r="A1855" s="421" t="s">
        <v>698</v>
      </c>
      <c r="B1855" s="411">
        <f>VLOOKUP(B1851,'BANG LUONG 1'!$B$5:$AJ$56,6,0)</f>
        <v>0.03</v>
      </c>
      <c r="C1855" s="421">
        <v>5</v>
      </c>
      <c r="D1855" s="41"/>
    </row>
    <row r="1856" spans="1:5" x14ac:dyDescent="0.25">
      <c r="A1856" s="421" t="s">
        <v>229</v>
      </c>
      <c r="B1856" s="412">
        <f>'thang luong moi'!$F$5</f>
        <v>4012500</v>
      </c>
      <c r="C1856" s="421">
        <v>6</v>
      </c>
      <c r="D1856" s="41"/>
    </row>
    <row r="1857" spans="1:5" x14ac:dyDescent="0.25">
      <c r="A1857" s="421" t="s">
        <v>217</v>
      </c>
      <c r="B1857" s="412" t="str">
        <f>VLOOKUP(B1851,'BANG LUONG 1'!$B$5:$AJ$56,8,0)</f>
        <v>B.02</v>
      </c>
      <c r="C1857" s="421">
        <v>7</v>
      </c>
      <c r="D1857" s="41"/>
    </row>
    <row r="1858" spans="1:5" x14ac:dyDescent="0.25">
      <c r="A1858" s="421" t="s">
        <v>230</v>
      </c>
      <c r="B1858" s="412">
        <f>VLOOKUP(B1851,'BANG LUONG 1'!$B$5:$AJ$56,9,0)</f>
        <v>1</v>
      </c>
      <c r="C1858" s="421">
        <v>8</v>
      </c>
      <c r="D1858" s="41"/>
    </row>
    <row r="1859" spans="1:5" x14ac:dyDescent="0.25">
      <c r="A1859" s="421" t="s">
        <v>538</v>
      </c>
      <c r="B1859" s="412">
        <f>VLOOKUP(B1851,'BANG LUONG 1'!$B$5:$AJ$56,11,0)</f>
        <v>4413750</v>
      </c>
      <c r="C1859" s="421">
        <v>9</v>
      </c>
      <c r="D1859" s="41"/>
    </row>
    <row r="1860" spans="1:5" x14ac:dyDescent="0.25">
      <c r="A1860" s="421" t="s">
        <v>354</v>
      </c>
      <c r="B1860" s="412">
        <f>VLOOKUP(B1851,'BANG LUONG 1'!$B$5:$AJ$56,12,0)</f>
        <v>26</v>
      </c>
      <c r="C1860" s="421">
        <v>10</v>
      </c>
      <c r="D1860" s="41"/>
    </row>
    <row r="1861" spans="1:5" x14ac:dyDescent="0.25">
      <c r="A1861" s="421" t="s">
        <v>534</v>
      </c>
      <c r="B1861" s="412">
        <f>VLOOKUP(B1851,'BANG LUONG 1'!$B$5:$AJ$56,13,0)</f>
        <v>4413750</v>
      </c>
      <c r="C1861" s="421">
        <v>11</v>
      </c>
      <c r="D1861" s="41"/>
    </row>
    <row r="1862" spans="1:5" x14ac:dyDescent="0.25">
      <c r="A1862" s="421" t="s">
        <v>592</v>
      </c>
      <c r="B1862" s="412">
        <f>VLOOKUP(B1851,'BANG LUONG 1'!$B$5:$AJ$56,14,0)</f>
        <v>0</v>
      </c>
      <c r="C1862" s="421">
        <v>12</v>
      </c>
      <c r="D1862" s="41">
        <f>B1859/26*B1862</f>
        <v>0</v>
      </c>
    </row>
    <row r="1863" spans="1:5" x14ac:dyDescent="0.25">
      <c r="A1863" s="421" t="s">
        <v>357</v>
      </c>
      <c r="B1863" s="412">
        <f>VLOOKUP(B1851,'BANG LUONG 1'!$B$5:$AJ$56,15,0)</f>
        <v>32</v>
      </c>
      <c r="C1863" s="421">
        <v>13</v>
      </c>
      <c r="D1863" s="41">
        <f>B1859/26/8*1.5*B1863</f>
        <v>1018557.6923076923</v>
      </c>
    </row>
    <row r="1864" spans="1:5" x14ac:dyDescent="0.25">
      <c r="A1864" s="421" t="s">
        <v>387</v>
      </c>
      <c r="B1864" s="412">
        <f>VLOOKUP(B1851,'BANG LUONG 1'!$B$5:$AJ$56,16,0)</f>
        <v>0</v>
      </c>
      <c r="C1864" s="421">
        <v>14</v>
      </c>
      <c r="D1864" s="41">
        <f>B1859/26/8*2*B1864</f>
        <v>0</v>
      </c>
    </row>
    <row r="1865" spans="1:5" x14ac:dyDescent="0.25">
      <c r="A1865" s="421" t="s">
        <v>593</v>
      </c>
      <c r="B1865" s="412">
        <f>VLOOKUP(B1851,'BANG LUONG 1'!$B$5:$AJ$56,17,0)</f>
        <v>1</v>
      </c>
      <c r="C1865" s="421"/>
      <c r="D1865" s="41">
        <f>(B1859/26)*B1865</f>
        <v>169759.61538461538</v>
      </c>
    </row>
    <row r="1866" spans="1:5" x14ac:dyDescent="0.25">
      <c r="A1866" s="421" t="s">
        <v>388</v>
      </c>
      <c r="B1866" s="412">
        <f>VLOOKUP(B1851,'BANG LUONG 1'!$B$5:$AJ$56,18,0)</f>
        <v>0</v>
      </c>
      <c r="C1866" s="421">
        <v>15</v>
      </c>
      <c r="D1866" s="41">
        <f>(B1859/26*B1866)*3</f>
        <v>0</v>
      </c>
    </row>
    <row r="1867" spans="1:5" x14ac:dyDescent="0.25">
      <c r="A1867" s="421" t="s">
        <v>533</v>
      </c>
      <c r="B1867" s="412">
        <f>VLOOKUP(B1851,'BANG LUONG 1'!$B$5:$AJ$56,19,0)</f>
        <v>5602067.307692307</v>
      </c>
      <c r="C1867" s="183">
        <v>16</v>
      </c>
      <c r="D1867" s="185">
        <f>B1861+D1863+D1864+D1862+D1866+D1865</f>
        <v>5602067.307692307</v>
      </c>
      <c r="E1867" s="108"/>
    </row>
    <row r="1868" spans="1:5" x14ac:dyDescent="0.25">
      <c r="A1868" s="421" t="s">
        <v>535</v>
      </c>
      <c r="B1868" s="412">
        <f>VLOOKUP(B1851,'BANG LUONG 1'!$B$5:$AJ$56,20,0)</f>
        <v>3245224.3589743599</v>
      </c>
      <c r="C1868" s="421">
        <v>17</v>
      </c>
      <c r="D1868" s="41"/>
    </row>
    <row r="1869" spans="1:5" x14ac:dyDescent="0.25">
      <c r="A1869" s="421" t="s">
        <v>370</v>
      </c>
      <c r="B1869" s="412">
        <f>VLOOKUP(B1851,'BANG LUONG 1'!$B$5:$AJ$56,22,0)</f>
        <v>132412.5</v>
      </c>
      <c r="C1869" s="421">
        <v>18</v>
      </c>
      <c r="D1869" s="41"/>
    </row>
    <row r="1870" spans="1:5" x14ac:dyDescent="0.25">
      <c r="A1870" s="421" t="s">
        <v>371</v>
      </c>
      <c r="B1870" s="412">
        <f>VLOOKUP(B1851,'BANG LUONG 1'!$B$5:$AJ$56,23,0)</f>
        <v>300000</v>
      </c>
      <c r="C1870" s="421">
        <v>19</v>
      </c>
      <c r="D1870" s="41"/>
    </row>
    <row r="1871" spans="1:5" x14ac:dyDescent="0.25">
      <c r="A1871" s="421" t="s">
        <v>560</v>
      </c>
      <c r="B1871" s="412">
        <f>VLOOKUP(B1851,'BANG LUONG 1'!$B$5:$AJ$56,24,0)</f>
        <v>0</v>
      </c>
      <c r="C1871" s="421">
        <v>22</v>
      </c>
      <c r="D1871" s="41"/>
    </row>
    <row r="1872" spans="1:5" x14ac:dyDescent="0.25">
      <c r="A1872" s="183" t="s">
        <v>237</v>
      </c>
      <c r="B1872" s="415">
        <f>VLOOKUP(B1851,'BANG LUONG 1'!$B$5:$AJ$56,26,0)</f>
        <v>9279704.1666666679</v>
      </c>
      <c r="C1872" s="421">
        <v>24</v>
      </c>
      <c r="D1872" s="41"/>
    </row>
    <row r="1873" spans="1:5" x14ac:dyDescent="0.25">
      <c r="A1873" s="421" t="s">
        <v>545</v>
      </c>
      <c r="B1873" s="412">
        <f>VLOOKUP(B1851,'BANG LUONG 1'!$B$5:$AJ$56,27,0)</f>
        <v>0</v>
      </c>
      <c r="C1873" s="421">
        <v>25</v>
      </c>
      <c r="D1873" s="41"/>
    </row>
    <row r="1874" spans="1:5" x14ac:dyDescent="0.25">
      <c r="A1874" s="421" t="s">
        <v>544</v>
      </c>
      <c r="B1874" s="412">
        <f>VLOOKUP(B1851,'BANG LUONG 1'!$B$5:$AJ$56,28,0)</f>
        <v>480585</v>
      </c>
      <c r="C1874" s="421">
        <v>26</v>
      </c>
      <c r="D1874" s="41"/>
    </row>
    <row r="1875" spans="1:5" x14ac:dyDescent="0.25">
      <c r="A1875" s="421" t="s">
        <v>712</v>
      </c>
      <c r="B1875" s="415">
        <f>VLOOKUP(B1851,'BANG LUONG 1'!$B$5:$AJ$56,32,0)</f>
        <v>0</v>
      </c>
      <c r="C1875" s="421"/>
      <c r="D1875" s="41"/>
    </row>
    <row r="1876" spans="1:5" x14ac:dyDescent="0.25">
      <c r="A1876" s="421" t="s">
        <v>713</v>
      </c>
      <c r="B1876" s="415">
        <f>VLOOKUP(B1851,'BANG LUONG 1'!$B$5:$AJ$56,33,0)</f>
        <v>66000</v>
      </c>
      <c r="C1876" s="421"/>
      <c r="D1876" s="41"/>
    </row>
    <row r="1877" spans="1:5" x14ac:dyDescent="0.25">
      <c r="A1877" s="183" t="s">
        <v>707</v>
      </c>
      <c r="B1877" s="415">
        <f>VLOOKUP(B1851,'BANG LUONG 1'!$B$5:$AJ$56,34,0)</f>
        <v>0</v>
      </c>
      <c r="C1877" s="421"/>
      <c r="D1877" s="41"/>
      <c r="E1877" s="108" t="str">
        <f>B1852</f>
        <v>Nguyễn Thành Tài</v>
      </c>
    </row>
    <row r="1878" spans="1:5" x14ac:dyDescent="0.25">
      <c r="A1878" s="183" t="s">
        <v>546</v>
      </c>
      <c r="B1878" s="415">
        <f>VLOOKUP(B1851,'BANG LUONG 1'!$B$5:$AJ$56,35,0)</f>
        <v>8965000</v>
      </c>
      <c r="C1878" s="421"/>
      <c r="D1878" s="41"/>
    </row>
    <row r="1879" spans="1:5" x14ac:dyDescent="0.25">
      <c r="A1879" s="184" t="s">
        <v>549</v>
      </c>
      <c r="B1879" s="424">
        <f>'BANG LUONG 1'!$P$3</f>
        <v>43733</v>
      </c>
    </row>
    <row r="1880" spans="1:5" x14ac:dyDescent="0.25">
      <c r="A1880" s="183" t="s">
        <v>1</v>
      </c>
      <c r="B1880" s="185" t="s">
        <v>156</v>
      </c>
      <c r="C1880" s="421">
        <v>1</v>
      </c>
      <c r="D1880" s="41"/>
    </row>
    <row r="1881" spans="1:5" x14ac:dyDescent="0.25">
      <c r="A1881" s="183" t="s">
        <v>2</v>
      </c>
      <c r="B1881" s="185" t="str">
        <f>VLOOKUP($B1880,'BANG LUONG 1'!$B$6:$AB$48,C1881,0)</f>
        <v>Lê Ngọc Đức</v>
      </c>
      <c r="C1881" s="421">
        <v>2</v>
      </c>
      <c r="D1881" s="41"/>
    </row>
    <row r="1882" spans="1:5" x14ac:dyDescent="0.25">
      <c r="A1882" s="421" t="s">
        <v>3</v>
      </c>
      <c r="B1882" s="41" t="str">
        <f>VLOOKUP($B1880,'BANG LUONG 1'!$B$6:$AJ$48,C1882,0)</f>
        <v xml:space="preserve">Công nhân </v>
      </c>
      <c r="C1882" s="421">
        <v>3</v>
      </c>
      <c r="D1882" s="41"/>
    </row>
    <row r="1883" spans="1:5" x14ac:dyDescent="0.25">
      <c r="A1883" s="421" t="s">
        <v>376</v>
      </c>
      <c r="B1883" s="410">
        <f>VLOOKUP($B1880,'BANG LUONG 1'!$B$5:$AJ$56,4,0)</f>
        <v>43453</v>
      </c>
      <c r="C1883" s="421">
        <v>4</v>
      </c>
      <c r="D1883" s="41"/>
    </row>
    <row r="1884" spans="1:5" x14ac:dyDescent="0.25">
      <c r="A1884" s="421" t="s">
        <v>698</v>
      </c>
      <c r="B1884" s="411">
        <f>VLOOKUP(B1880,'BANG LUONG 1'!$B$5:$AJ$56,6,0)</f>
        <v>0</v>
      </c>
      <c r="C1884" s="421">
        <v>5</v>
      </c>
      <c r="D1884" s="41"/>
    </row>
    <row r="1885" spans="1:5" x14ac:dyDescent="0.25">
      <c r="A1885" s="421" t="s">
        <v>229</v>
      </c>
      <c r="B1885" s="412">
        <f>'thang luong moi'!$F$5</f>
        <v>4012500</v>
      </c>
      <c r="C1885" s="421">
        <v>6</v>
      </c>
      <c r="D1885" s="41"/>
    </row>
    <row r="1886" spans="1:5" x14ac:dyDescent="0.25">
      <c r="A1886" s="421" t="s">
        <v>217</v>
      </c>
      <c r="B1886" s="412" t="str">
        <f>VLOOKUP(B1880,'BANG LUONG 1'!$B$5:$AJ$56,8,0)</f>
        <v>B.05</v>
      </c>
      <c r="C1886" s="421">
        <v>7</v>
      </c>
      <c r="D1886" s="41"/>
    </row>
    <row r="1887" spans="1:5" x14ac:dyDescent="0.25">
      <c r="A1887" s="421" t="s">
        <v>230</v>
      </c>
      <c r="B1887" s="412">
        <f>VLOOKUP(B1880,'BANG LUONG 1'!$B$5:$AJ$56,9,0)</f>
        <v>1</v>
      </c>
      <c r="C1887" s="421">
        <v>8</v>
      </c>
      <c r="D1887" s="41"/>
    </row>
    <row r="1888" spans="1:5" x14ac:dyDescent="0.25">
      <c r="A1888" s="421" t="s">
        <v>538</v>
      </c>
      <c r="B1888" s="412">
        <f>VLOOKUP(B1880,'BANG LUONG 1'!$B$5:$AJ$56,11,0)</f>
        <v>4213125</v>
      </c>
      <c r="C1888" s="421">
        <v>9</v>
      </c>
      <c r="D1888" s="41"/>
    </row>
    <row r="1889" spans="1:5" x14ac:dyDescent="0.25">
      <c r="A1889" s="421" t="s">
        <v>354</v>
      </c>
      <c r="B1889" s="412">
        <f>VLOOKUP(B1880,'BANG LUONG 1'!$B$5:$AJ$56,12,0)</f>
        <v>25</v>
      </c>
      <c r="C1889" s="421">
        <v>10</v>
      </c>
      <c r="D1889" s="41"/>
    </row>
    <row r="1890" spans="1:5" x14ac:dyDescent="0.25">
      <c r="A1890" s="421" t="s">
        <v>534</v>
      </c>
      <c r="B1890" s="412">
        <f>VLOOKUP(B1880,'BANG LUONG 1'!$B$5:$AJ$56,13,0)</f>
        <v>4051081.7307692305</v>
      </c>
      <c r="C1890" s="421">
        <v>11</v>
      </c>
      <c r="D1890" s="41"/>
    </row>
    <row r="1891" spans="1:5" x14ac:dyDescent="0.25">
      <c r="A1891" s="421" t="s">
        <v>592</v>
      </c>
      <c r="B1891" s="412">
        <f>VLOOKUP(B1880,'BANG LUONG 1'!$B$5:$AJ$56,14,0)</f>
        <v>0</v>
      </c>
      <c r="C1891" s="421">
        <v>12</v>
      </c>
      <c r="D1891" s="41">
        <f>B1888/26*B1891</f>
        <v>0</v>
      </c>
    </row>
    <row r="1892" spans="1:5" x14ac:dyDescent="0.25">
      <c r="A1892" s="421" t="s">
        <v>357</v>
      </c>
      <c r="B1892" s="412">
        <f>VLOOKUP(B1880,'BANG LUONG 1'!$B$5:$AJ$56,15,0)</f>
        <v>0</v>
      </c>
      <c r="C1892" s="421">
        <v>13</v>
      </c>
      <c r="D1892" s="41">
        <f>B1888/26/8*1.5*B1892</f>
        <v>0</v>
      </c>
    </row>
    <row r="1893" spans="1:5" x14ac:dyDescent="0.25">
      <c r="A1893" s="421" t="s">
        <v>387</v>
      </c>
      <c r="B1893" s="412">
        <f>VLOOKUP(B1880,'BANG LUONG 1'!$B$5:$AJ$56,16,0)</f>
        <v>24</v>
      </c>
      <c r="C1893" s="421">
        <v>14</v>
      </c>
      <c r="D1893" s="41">
        <f>B1888/26/8*2*B1893</f>
        <v>972259.61538461526</v>
      </c>
    </row>
    <row r="1894" spans="1:5" x14ac:dyDescent="0.25">
      <c r="A1894" s="421" t="s">
        <v>593</v>
      </c>
      <c r="B1894" s="412">
        <f>VLOOKUP(B1880,'BANG LUONG 1'!$B$5:$AJ$56,17,0)</f>
        <v>1</v>
      </c>
      <c r="C1894" s="421"/>
      <c r="D1894" s="41">
        <f>(B1888/26)*B1894</f>
        <v>162043.26923076922</v>
      </c>
    </row>
    <row r="1895" spans="1:5" x14ac:dyDescent="0.25">
      <c r="A1895" s="421" t="s">
        <v>388</v>
      </c>
      <c r="B1895" s="412">
        <f>VLOOKUP(B1880,'BANG LUONG 1'!$B$5:$AJ$56,18,0)</f>
        <v>0</v>
      </c>
      <c r="C1895" s="421">
        <v>15</v>
      </c>
      <c r="D1895" s="41">
        <f>(B1888/26*B1895)*3</f>
        <v>0</v>
      </c>
    </row>
    <row r="1896" spans="1:5" x14ac:dyDescent="0.25">
      <c r="A1896" s="421" t="s">
        <v>533</v>
      </c>
      <c r="B1896" s="412">
        <f>VLOOKUP(B1880,'BANG LUONG 1'!$B$5:$AJ$56,19,0)</f>
        <v>5185384.615384615</v>
      </c>
      <c r="C1896" s="183">
        <v>16</v>
      </c>
      <c r="D1896" s="185">
        <f>B1890+D1892+D1893+D1891+D1895+D1894</f>
        <v>5185384.615384615</v>
      </c>
      <c r="E1896" s="108"/>
    </row>
    <row r="1897" spans="1:5" x14ac:dyDescent="0.25">
      <c r="A1897" s="421" t="s">
        <v>535</v>
      </c>
      <c r="B1897" s="412">
        <f>VLOOKUP(B1880,'BANG LUONG 1'!$B$5:$AJ$56,20,0)</f>
        <v>795072.11538461456</v>
      </c>
      <c r="C1897" s="421">
        <v>17</v>
      </c>
      <c r="D1897" s="41"/>
    </row>
    <row r="1898" spans="1:5" x14ac:dyDescent="0.25">
      <c r="A1898" s="421" t="s">
        <v>370</v>
      </c>
      <c r="B1898" s="412">
        <f>VLOOKUP(B1880,'BANG LUONG 1'!$B$5:$AJ$56,22,0)</f>
        <v>0</v>
      </c>
      <c r="C1898" s="421">
        <v>18</v>
      </c>
      <c r="D1898" s="41"/>
    </row>
    <row r="1899" spans="1:5" x14ac:dyDescent="0.25">
      <c r="A1899" s="421" t="s">
        <v>371</v>
      </c>
      <c r="B1899" s="412">
        <f>VLOOKUP(B1880,'BANG LUONG 1'!$B$5:$AJ$56,23,0)</f>
        <v>300000</v>
      </c>
      <c r="C1899" s="421">
        <v>19</v>
      </c>
      <c r="D1899" s="41"/>
    </row>
    <row r="1900" spans="1:5" x14ac:dyDescent="0.25">
      <c r="A1900" s="421" t="s">
        <v>560</v>
      </c>
      <c r="B1900" s="412">
        <f>VLOOKUP(B1880,'BANG LUONG 1'!$B$5:$AJ$56,24,0)</f>
        <v>0</v>
      </c>
      <c r="C1900" s="421">
        <v>22</v>
      </c>
      <c r="D1900" s="41"/>
    </row>
    <row r="1901" spans="1:5" x14ac:dyDescent="0.25">
      <c r="A1901" s="183" t="s">
        <v>237</v>
      </c>
      <c r="B1901" s="415">
        <f>VLOOKUP(B1880,'BANG LUONG 1'!$B$5:$AJ$56,26,0)</f>
        <v>6280456.7307692301</v>
      </c>
      <c r="C1901" s="421">
        <v>24</v>
      </c>
      <c r="D1901" s="41"/>
    </row>
    <row r="1902" spans="1:5" hidden="1" x14ac:dyDescent="0.25">
      <c r="A1902" s="421" t="s">
        <v>545</v>
      </c>
      <c r="B1902" s="412">
        <f>VLOOKUP(B1880,'BANG LUONG 1'!$B$5:$AJ$56,27,0)</f>
        <v>4000000</v>
      </c>
      <c r="C1902" s="421">
        <v>25</v>
      </c>
      <c r="D1902" s="41"/>
    </row>
    <row r="1903" spans="1:5" hidden="1" x14ac:dyDescent="0.25">
      <c r="A1903" s="421" t="s">
        <v>544</v>
      </c>
      <c r="B1903" s="412">
        <f>VLOOKUP(B1880,'BANG LUONG 1'!$B$5:$AJ$56,28,0)</f>
        <v>0</v>
      </c>
      <c r="C1903" s="421">
        <v>26</v>
      </c>
      <c r="D1903" s="41"/>
    </row>
    <row r="1904" spans="1:5" x14ac:dyDescent="0.25">
      <c r="A1904" s="421" t="s">
        <v>712</v>
      </c>
      <c r="B1904" s="415">
        <f>VLOOKUP(B1880,'BANG LUONG 1'!$B$5:$AJ$56,32,0)</f>
        <v>0</v>
      </c>
      <c r="C1904" s="421"/>
      <c r="D1904" s="41"/>
    </row>
    <row r="1905" spans="1:5" x14ac:dyDescent="0.25">
      <c r="A1905" s="421" t="s">
        <v>713</v>
      </c>
      <c r="B1905" s="415">
        <f>VLOOKUP(B1880,'BANG LUONG 1'!$B$5:$AJ$56,33,0)</f>
        <v>0</v>
      </c>
      <c r="C1905" s="421"/>
      <c r="D1905" s="41"/>
    </row>
    <row r="1906" spans="1:5" x14ac:dyDescent="0.25">
      <c r="A1906" s="183" t="s">
        <v>707</v>
      </c>
      <c r="B1906" s="415">
        <f>VLOOKUP(B1880,'BANG LUONG 1'!$B$5:$AJ$56,34,0)</f>
        <v>0</v>
      </c>
      <c r="C1906" s="421"/>
      <c r="D1906" s="41"/>
      <c r="E1906" s="108" t="str">
        <f>B1881</f>
        <v>Lê Ngọc Đức</v>
      </c>
    </row>
    <row r="1907" spans="1:5" x14ac:dyDescent="0.25">
      <c r="A1907" s="183" t="s">
        <v>546</v>
      </c>
      <c r="B1907" s="415">
        <f>VLOOKUP(B1880,'BANG LUONG 1'!$B$5:$AJ$56,35,0)</f>
        <v>2380000</v>
      </c>
      <c r="C1907" s="421"/>
      <c r="D1907" s="41"/>
    </row>
    <row r="1908" spans="1:5" x14ac:dyDescent="0.25">
      <c r="A1908" s="183"/>
      <c r="B1908" s="412"/>
      <c r="C1908" s="421">
        <v>27</v>
      </c>
      <c r="D1908" s="185"/>
    </row>
    <row r="1909" spans="1:5" x14ac:dyDescent="0.25">
      <c r="A1909" s="184" t="s">
        <v>549</v>
      </c>
      <c r="B1909" s="424">
        <f>'BANG LUONG 1'!$P$3</f>
        <v>43733</v>
      </c>
    </row>
    <row r="1910" spans="1:5" x14ac:dyDescent="0.25">
      <c r="A1910" s="183" t="s">
        <v>1</v>
      </c>
      <c r="B1910" s="185" t="s">
        <v>152</v>
      </c>
      <c r="C1910" s="421">
        <v>1</v>
      </c>
      <c r="D1910" s="41"/>
    </row>
    <row r="1911" spans="1:5" x14ac:dyDescent="0.25">
      <c r="A1911" s="183" t="s">
        <v>2</v>
      </c>
      <c r="B1911" s="185" t="str">
        <f>VLOOKUP($B1910,'BANG LUONG 1'!$B$6:$AB$48,C1911,0)</f>
        <v>Nguyễn Văn Phụng</v>
      </c>
      <c r="C1911" s="421">
        <v>2</v>
      </c>
      <c r="D1911" s="41"/>
    </row>
    <row r="1912" spans="1:5" x14ac:dyDescent="0.25">
      <c r="A1912" s="421" t="s">
        <v>3</v>
      </c>
      <c r="B1912" s="41" t="str">
        <f>VLOOKUP($B1910,'BANG LUONG 1'!$B$6:$AJ$48,C1912,0)</f>
        <v xml:space="preserve">Công nhân </v>
      </c>
      <c r="C1912" s="421">
        <v>3</v>
      </c>
      <c r="D1912" s="41"/>
    </row>
    <row r="1913" spans="1:5" x14ac:dyDescent="0.25">
      <c r="A1913" s="421" t="s">
        <v>376</v>
      </c>
      <c r="B1913" s="410">
        <f>VLOOKUP($B1910,'BANG LUONG 1'!$B$5:$AJ$56,4,0)</f>
        <v>41786</v>
      </c>
      <c r="C1913" s="421">
        <v>4</v>
      </c>
      <c r="D1913" s="41"/>
    </row>
    <row r="1914" spans="1:5" x14ac:dyDescent="0.25">
      <c r="A1914" s="421" t="s">
        <v>698</v>
      </c>
      <c r="B1914" s="411">
        <f>VLOOKUP(B1910,'BANG LUONG 1'!$B$5:$AJ$56,6,0)</f>
        <v>0.05</v>
      </c>
      <c r="C1914" s="421">
        <v>5</v>
      </c>
      <c r="D1914" s="41"/>
    </row>
    <row r="1915" spans="1:5" x14ac:dyDescent="0.25">
      <c r="A1915" s="421" t="s">
        <v>229</v>
      </c>
      <c r="B1915" s="412">
        <f>'thang luong moi'!$F$5</f>
        <v>4012500</v>
      </c>
      <c r="C1915" s="421">
        <v>6</v>
      </c>
      <c r="D1915" s="41"/>
    </row>
    <row r="1916" spans="1:5" x14ac:dyDescent="0.25">
      <c r="A1916" s="421" t="s">
        <v>217</v>
      </c>
      <c r="B1916" s="412" t="str">
        <f>VLOOKUP(B1910,'BANG LUONG 1'!$B$5:$AJ$56,8,0)</f>
        <v>B.05</v>
      </c>
      <c r="C1916" s="421">
        <v>7</v>
      </c>
      <c r="D1916" s="41"/>
    </row>
    <row r="1917" spans="1:5" x14ac:dyDescent="0.25">
      <c r="A1917" s="421" t="s">
        <v>230</v>
      </c>
      <c r="B1917" s="412">
        <f>VLOOKUP(B1910,'BANG LUONG 1'!$B$5:$AJ$56,9,0)</f>
        <v>1</v>
      </c>
      <c r="C1917" s="421">
        <v>8</v>
      </c>
      <c r="D1917" s="41"/>
    </row>
    <row r="1918" spans="1:5" x14ac:dyDescent="0.25">
      <c r="A1918" s="421" t="s">
        <v>538</v>
      </c>
      <c r="B1918" s="412">
        <f>VLOOKUP(B1910,'BANG LUONG 1'!$B$5:$AJ$56,11,0)</f>
        <v>4213125</v>
      </c>
      <c r="C1918" s="421">
        <v>9</v>
      </c>
      <c r="D1918" s="41"/>
    </row>
    <row r="1919" spans="1:5" x14ac:dyDescent="0.25">
      <c r="A1919" s="421" t="s">
        <v>354</v>
      </c>
      <c r="B1919" s="412">
        <f>VLOOKUP(B1910,'BANG LUONG 1'!$B$5:$AJ$56,12,0)</f>
        <v>24</v>
      </c>
      <c r="C1919" s="421">
        <v>10</v>
      </c>
      <c r="D1919" s="41"/>
    </row>
    <row r="1920" spans="1:5" x14ac:dyDescent="0.25">
      <c r="A1920" s="421" t="s">
        <v>534</v>
      </c>
      <c r="B1920" s="412">
        <f>VLOOKUP(B1910,'BANG LUONG 1'!$B$5:$AJ$56,13,0)</f>
        <v>3889038.461538461</v>
      </c>
      <c r="C1920" s="421">
        <v>11</v>
      </c>
      <c r="D1920" s="41"/>
    </row>
    <row r="1921" spans="1:5" x14ac:dyDescent="0.25">
      <c r="A1921" s="421" t="s">
        <v>592</v>
      </c>
      <c r="B1921" s="412">
        <f>VLOOKUP(B1910,'BANG LUONG 1'!$B$5:$AJ$56,14,0)</f>
        <v>0.5</v>
      </c>
      <c r="C1921" s="421">
        <v>12</v>
      </c>
      <c r="D1921" s="41">
        <f>B1918/26*B1921</f>
        <v>81021.63461538461</v>
      </c>
    </row>
    <row r="1922" spans="1:5" x14ac:dyDescent="0.25">
      <c r="A1922" s="421" t="s">
        <v>357</v>
      </c>
      <c r="B1922" s="412">
        <f>VLOOKUP(B1910,'BANG LUONG 1'!$B$5:$AJ$56,15,0)</f>
        <v>161.5</v>
      </c>
      <c r="C1922" s="421">
        <v>13</v>
      </c>
      <c r="D1922" s="41">
        <f>B1918/26/8*1.5*B1922</f>
        <v>4906872.7463942301</v>
      </c>
    </row>
    <row r="1923" spans="1:5" x14ac:dyDescent="0.25">
      <c r="A1923" s="421" t="s">
        <v>387</v>
      </c>
      <c r="B1923" s="412">
        <f>VLOOKUP(B1910,'BANG LUONG 1'!$B$5:$AJ$56,16,0)</f>
        <v>24</v>
      </c>
      <c r="C1923" s="421">
        <v>14</v>
      </c>
      <c r="D1923" s="41">
        <f>B1918/26/8*2*B1923</f>
        <v>972259.61538461526</v>
      </c>
    </row>
    <row r="1924" spans="1:5" x14ac:dyDescent="0.25">
      <c r="A1924" s="421" t="s">
        <v>593</v>
      </c>
      <c r="B1924" s="412">
        <f>VLOOKUP(B1910,'BANG LUONG 1'!$B$5:$AJ$56,17,0)</f>
        <v>0</v>
      </c>
      <c r="C1924" s="421"/>
      <c r="D1924" s="41">
        <f>(B1918/26)*B1924</f>
        <v>0</v>
      </c>
    </row>
    <row r="1925" spans="1:5" x14ac:dyDescent="0.25">
      <c r="A1925" s="421" t="s">
        <v>388</v>
      </c>
      <c r="B1925" s="412">
        <f>VLOOKUP(B1910,'BANG LUONG 1'!$B$5:$AJ$56,18,0)</f>
        <v>1</v>
      </c>
      <c r="C1925" s="421">
        <v>15</v>
      </c>
      <c r="D1925" s="41">
        <f>(B1918/26*B1925)*3</f>
        <v>486129.80769230763</v>
      </c>
    </row>
    <row r="1926" spans="1:5" x14ac:dyDescent="0.25">
      <c r="A1926" s="421" t="s">
        <v>533</v>
      </c>
      <c r="B1926" s="412">
        <f>VLOOKUP(B1910,'BANG LUONG 1'!$B$5:$AJ$56,19,0)</f>
        <v>10335322.265625</v>
      </c>
      <c r="C1926" s="183">
        <v>16</v>
      </c>
      <c r="D1926" s="185">
        <f>B1920+D1922+D1923+D1921+D1925+D1924</f>
        <v>10335322.265625</v>
      </c>
      <c r="E1926" s="108"/>
    </row>
    <row r="1927" spans="1:5" x14ac:dyDescent="0.25">
      <c r="A1927" s="421" t="s">
        <v>535</v>
      </c>
      <c r="B1927" s="412">
        <f>VLOOKUP(B1910,'BANG LUONG 1'!$B$5:$AJ$56,20,0)</f>
        <v>4451105.769230769</v>
      </c>
      <c r="C1927" s="421">
        <v>17</v>
      </c>
      <c r="D1927" s="41"/>
    </row>
    <row r="1928" spans="1:5" x14ac:dyDescent="0.25">
      <c r="A1928" s="421" t="s">
        <v>370</v>
      </c>
      <c r="B1928" s="412">
        <f>VLOOKUP(B1910,'BANG LUONG 1'!$B$5:$AJ$56,22,0)</f>
        <v>210656.25</v>
      </c>
      <c r="C1928" s="421">
        <v>18</v>
      </c>
      <c r="D1928" s="41"/>
    </row>
    <row r="1929" spans="1:5" x14ac:dyDescent="0.25">
      <c r="A1929" s="421" t="s">
        <v>371</v>
      </c>
      <c r="B1929" s="412">
        <f>VLOOKUP(B1910,'BANG LUONG 1'!$B$5:$AJ$56,23,0)</f>
        <v>300000</v>
      </c>
      <c r="C1929" s="421">
        <v>19</v>
      </c>
      <c r="D1929" s="41"/>
    </row>
    <row r="1930" spans="1:5" x14ac:dyDescent="0.25">
      <c r="A1930" s="421" t="s">
        <v>560</v>
      </c>
      <c r="B1930" s="412">
        <f>VLOOKUP(B1910,'BANG LUONG 1'!$B$5:$AJ$56,24,0)</f>
        <v>0</v>
      </c>
      <c r="C1930" s="421">
        <v>22</v>
      </c>
      <c r="D1930" s="41"/>
    </row>
    <row r="1931" spans="1:5" x14ac:dyDescent="0.25">
      <c r="A1931" s="183" t="s">
        <v>237</v>
      </c>
      <c r="B1931" s="415">
        <f>VLOOKUP(B1910,'BANG LUONG 1'!$B$5:$AJ$56,26,0)</f>
        <v>15297084.284855768</v>
      </c>
      <c r="C1931" s="421">
        <v>24</v>
      </c>
      <c r="D1931" s="41"/>
    </row>
    <row r="1932" spans="1:5" x14ac:dyDescent="0.25">
      <c r="A1932" s="421" t="s">
        <v>545</v>
      </c>
      <c r="B1932" s="412">
        <f>VLOOKUP(B1910,'BANG LUONG 1'!$B$5:$AJ$56,27,0)</f>
        <v>4000000</v>
      </c>
      <c r="C1932" s="421">
        <v>25</v>
      </c>
      <c r="D1932" s="41"/>
    </row>
    <row r="1933" spans="1:5" x14ac:dyDescent="0.25">
      <c r="A1933" s="421" t="s">
        <v>544</v>
      </c>
      <c r="B1933" s="412">
        <f>VLOOKUP(B1910,'BANG LUONG 1'!$B$5:$AJ$56,28,0)</f>
        <v>480585</v>
      </c>
      <c r="C1933" s="421">
        <v>26</v>
      </c>
      <c r="D1933" s="41"/>
    </row>
    <row r="1934" spans="1:5" x14ac:dyDescent="0.25">
      <c r="A1934" s="421" t="s">
        <v>712</v>
      </c>
      <c r="B1934" s="415">
        <f>VLOOKUP(B1910,'BANG LUONG 1'!$B$5:$AJ$56,32,0)</f>
        <v>0</v>
      </c>
      <c r="C1934" s="421"/>
      <c r="D1934" s="41"/>
    </row>
    <row r="1935" spans="1:5" x14ac:dyDescent="0.25">
      <c r="A1935" s="421" t="s">
        <v>713</v>
      </c>
      <c r="B1935" s="415">
        <f>VLOOKUP(B1910,'BANG LUONG 1'!$B$5:$AJ$56,33,0)</f>
        <v>352000</v>
      </c>
      <c r="C1935" s="421"/>
      <c r="D1935" s="41"/>
    </row>
    <row r="1936" spans="1:5" x14ac:dyDescent="0.25">
      <c r="A1936" s="183" t="s">
        <v>707</v>
      </c>
      <c r="B1936" s="415">
        <f>VLOOKUP(B1910,'BANG LUONG 1'!$B$5:$AJ$56,34,0)</f>
        <v>0</v>
      </c>
      <c r="C1936" s="421"/>
      <c r="D1936" s="41"/>
      <c r="E1936" s="108" t="str">
        <f>B1911</f>
        <v>Nguyễn Văn Phụng</v>
      </c>
    </row>
    <row r="1937" spans="1:4" x14ac:dyDescent="0.25">
      <c r="A1937" s="183" t="s">
        <v>546</v>
      </c>
      <c r="B1937" s="415">
        <f>VLOOKUP(B1910,'BANG LUONG 1'!$B$5:$AJ$56,35,0)</f>
        <v>11268000</v>
      </c>
      <c r="C1937" s="421"/>
      <c r="D1937" s="41"/>
    </row>
    <row r="1938" spans="1:4" x14ac:dyDescent="0.25">
      <c r="A1938" s="184" t="s">
        <v>549</v>
      </c>
      <c r="B1938" s="424">
        <f>'BANG LUONG 1'!$P$3</f>
        <v>43733</v>
      </c>
    </row>
    <row r="1939" spans="1:4" x14ac:dyDescent="0.25">
      <c r="A1939" s="183" t="s">
        <v>1</v>
      </c>
      <c r="B1939" s="185" t="s">
        <v>156</v>
      </c>
      <c r="C1939" s="421">
        <v>1</v>
      </c>
      <c r="D1939" s="41"/>
    </row>
    <row r="1940" spans="1:4" x14ac:dyDescent="0.25">
      <c r="A1940" s="183" t="s">
        <v>2</v>
      </c>
      <c r="B1940" s="185" t="str">
        <f>VLOOKUP($B1939,'BANG LUONG 1'!$B$6:$AB$48,C1940,0)</f>
        <v>Lê Ngọc Đức</v>
      </c>
      <c r="C1940" s="421">
        <v>2</v>
      </c>
      <c r="D1940" s="41"/>
    </row>
    <row r="1941" spans="1:4" x14ac:dyDescent="0.25">
      <c r="A1941" s="421" t="s">
        <v>3</v>
      </c>
      <c r="B1941" s="41" t="str">
        <f>VLOOKUP($B1939,'BANG LUONG 1'!$B$6:$AJ$48,C1941,0)</f>
        <v xml:space="preserve">Công nhân </v>
      </c>
      <c r="C1941" s="421">
        <v>3</v>
      </c>
      <c r="D1941" s="41"/>
    </row>
    <row r="1942" spans="1:4" x14ac:dyDescent="0.25">
      <c r="A1942" s="421" t="s">
        <v>376</v>
      </c>
      <c r="B1942" s="410">
        <f>VLOOKUP($B1939,'BANG LUONG 1'!$B$5:$AJ$56,4,0)</f>
        <v>43453</v>
      </c>
      <c r="C1942" s="421">
        <v>4</v>
      </c>
      <c r="D1942" s="41"/>
    </row>
    <row r="1943" spans="1:4" x14ac:dyDescent="0.25">
      <c r="A1943" s="421" t="s">
        <v>698</v>
      </c>
      <c r="B1943" s="411">
        <f>VLOOKUP(B1939,'BANG LUONG 1'!$B$5:$AJ$56,6,0)</f>
        <v>0</v>
      </c>
      <c r="C1943" s="421">
        <v>5</v>
      </c>
      <c r="D1943" s="41"/>
    </row>
    <row r="1944" spans="1:4" x14ac:dyDescent="0.25">
      <c r="A1944" s="421" t="s">
        <v>229</v>
      </c>
      <c r="B1944" s="412">
        <f>'thang luong moi'!$F$5</f>
        <v>4012500</v>
      </c>
      <c r="C1944" s="421">
        <v>6</v>
      </c>
      <c r="D1944" s="41"/>
    </row>
    <row r="1945" spans="1:4" x14ac:dyDescent="0.25">
      <c r="A1945" s="421" t="s">
        <v>217</v>
      </c>
      <c r="B1945" s="412" t="str">
        <f>VLOOKUP(B1939,'BANG LUONG 1'!$B$5:$AJ$56,8,0)</f>
        <v>B.05</v>
      </c>
      <c r="C1945" s="421">
        <v>7</v>
      </c>
      <c r="D1945" s="41"/>
    </row>
    <row r="1946" spans="1:4" x14ac:dyDescent="0.25">
      <c r="A1946" s="421" t="s">
        <v>230</v>
      </c>
      <c r="B1946" s="412">
        <f>VLOOKUP(B1939,'BANG LUONG 1'!$B$5:$AJ$56,9,0)</f>
        <v>1</v>
      </c>
      <c r="C1946" s="421">
        <v>8</v>
      </c>
      <c r="D1946" s="41"/>
    </row>
    <row r="1947" spans="1:4" x14ac:dyDescent="0.25">
      <c r="A1947" s="421" t="s">
        <v>538</v>
      </c>
      <c r="B1947" s="412">
        <f>VLOOKUP(B1939,'BANG LUONG 1'!$B$5:$AJ$56,11,0)</f>
        <v>4213125</v>
      </c>
      <c r="C1947" s="421">
        <v>9</v>
      </c>
      <c r="D1947" s="41"/>
    </row>
    <row r="1948" spans="1:4" x14ac:dyDescent="0.25">
      <c r="A1948" s="421" t="s">
        <v>354</v>
      </c>
      <c r="B1948" s="412">
        <f>VLOOKUP(B1939,'BANG LUONG 1'!$B$5:$AJ$56,12,0)</f>
        <v>25</v>
      </c>
      <c r="C1948" s="421">
        <v>10</v>
      </c>
      <c r="D1948" s="41"/>
    </row>
    <row r="1949" spans="1:4" x14ac:dyDescent="0.25">
      <c r="A1949" s="421" t="s">
        <v>534</v>
      </c>
      <c r="B1949" s="412">
        <f>VLOOKUP(B1939,'BANG LUONG 1'!$B$5:$AJ$56,13,0)</f>
        <v>4051081.7307692305</v>
      </c>
      <c r="C1949" s="421">
        <v>11</v>
      </c>
      <c r="D1949" s="41"/>
    </row>
    <row r="1950" spans="1:4" x14ac:dyDescent="0.25">
      <c r="A1950" s="421" t="s">
        <v>592</v>
      </c>
      <c r="B1950" s="412">
        <f>VLOOKUP(B1939,'BANG LUONG 1'!$B$5:$AJ$56,14,0)</f>
        <v>0</v>
      </c>
      <c r="C1950" s="421">
        <v>12</v>
      </c>
      <c r="D1950" s="41">
        <f>B1947/26*B1950</f>
        <v>0</v>
      </c>
    </row>
    <row r="1951" spans="1:4" x14ac:dyDescent="0.25">
      <c r="A1951" s="421" t="s">
        <v>357</v>
      </c>
      <c r="B1951" s="412">
        <f>VLOOKUP(B1939,'BANG LUONG 1'!$B$5:$AJ$56,15,0)</f>
        <v>0</v>
      </c>
      <c r="C1951" s="421">
        <v>13</v>
      </c>
      <c r="D1951" s="41">
        <f>B1947/26/8*1.5*B1951</f>
        <v>0</v>
      </c>
    </row>
    <row r="1952" spans="1:4" x14ac:dyDescent="0.25">
      <c r="A1952" s="421" t="s">
        <v>387</v>
      </c>
      <c r="B1952" s="412">
        <f>VLOOKUP(B1939,'BANG LUONG 1'!$B$5:$AJ$56,16,0)</f>
        <v>24</v>
      </c>
      <c r="C1952" s="421">
        <v>14</v>
      </c>
      <c r="D1952" s="41">
        <f>B1947/26/8*2*B1952</f>
        <v>972259.61538461526</v>
      </c>
    </row>
    <row r="1953" spans="1:5" x14ac:dyDescent="0.25">
      <c r="A1953" s="421" t="s">
        <v>593</v>
      </c>
      <c r="B1953" s="412">
        <f>VLOOKUP(B1939,'BANG LUONG 1'!$B$5:$AJ$56,17,0)</f>
        <v>1</v>
      </c>
      <c r="C1953" s="421"/>
      <c r="D1953" s="41">
        <f>(B1947/26)*B1953</f>
        <v>162043.26923076922</v>
      </c>
    </row>
    <row r="1954" spans="1:5" x14ac:dyDescent="0.25">
      <c r="A1954" s="421" t="s">
        <v>388</v>
      </c>
      <c r="B1954" s="412">
        <f>VLOOKUP(B1939,'BANG LUONG 1'!$B$5:$AJ$56,18,0)</f>
        <v>0</v>
      </c>
      <c r="C1954" s="421">
        <v>15</v>
      </c>
      <c r="D1954" s="41">
        <f>(B1947/26*B1954)*3</f>
        <v>0</v>
      </c>
    </row>
    <row r="1955" spans="1:5" x14ac:dyDescent="0.25">
      <c r="A1955" s="421" t="s">
        <v>533</v>
      </c>
      <c r="B1955" s="412">
        <f>VLOOKUP(B1939,'BANG LUONG 1'!$B$5:$AJ$56,19,0)</f>
        <v>5185384.615384615</v>
      </c>
      <c r="C1955" s="183">
        <v>16</v>
      </c>
      <c r="D1955" s="185">
        <f>B1949+D1951+D1952+D1950+D1954+D1953</f>
        <v>5185384.615384615</v>
      </c>
      <c r="E1955" s="108"/>
    </row>
    <row r="1956" spans="1:5" x14ac:dyDescent="0.25">
      <c r="A1956" s="421" t="s">
        <v>535</v>
      </c>
      <c r="B1956" s="412">
        <f>VLOOKUP(B1939,'BANG LUONG 1'!$B$5:$AJ$56,20,0)</f>
        <v>795072.11538461456</v>
      </c>
      <c r="C1956" s="421">
        <v>17</v>
      </c>
      <c r="D1956" s="41"/>
    </row>
    <row r="1957" spans="1:5" x14ac:dyDescent="0.25">
      <c r="A1957" s="421" t="s">
        <v>370</v>
      </c>
      <c r="B1957" s="412">
        <f>VLOOKUP(B1939,'BANG LUONG 1'!$B$5:$AJ$56,22,0)</f>
        <v>0</v>
      </c>
      <c r="C1957" s="421">
        <v>18</v>
      </c>
      <c r="D1957" s="41"/>
    </row>
    <row r="1958" spans="1:5" x14ac:dyDescent="0.25">
      <c r="A1958" s="421" t="s">
        <v>371</v>
      </c>
      <c r="B1958" s="412">
        <f>VLOOKUP(B1939,'BANG LUONG 1'!$B$5:$AJ$56,23,0)</f>
        <v>300000</v>
      </c>
      <c r="C1958" s="421">
        <v>19</v>
      </c>
      <c r="D1958" s="41"/>
    </row>
    <row r="1959" spans="1:5" x14ac:dyDescent="0.25">
      <c r="A1959" s="421" t="s">
        <v>560</v>
      </c>
      <c r="B1959" s="412">
        <f>VLOOKUP(B1939,'BANG LUONG 1'!$B$5:$AJ$56,24,0)</f>
        <v>0</v>
      </c>
      <c r="C1959" s="421">
        <v>22</v>
      </c>
      <c r="D1959" s="41"/>
    </row>
    <row r="1960" spans="1:5" x14ac:dyDescent="0.25">
      <c r="A1960" s="183" t="s">
        <v>237</v>
      </c>
      <c r="B1960" s="415">
        <f>VLOOKUP(B1939,'BANG LUONG 1'!$B$5:$AJ$56,26,0)</f>
        <v>6280456.7307692301</v>
      </c>
      <c r="C1960" s="421">
        <v>24</v>
      </c>
      <c r="D1960" s="41"/>
    </row>
    <row r="1961" spans="1:5" x14ac:dyDescent="0.25">
      <c r="A1961" s="421" t="s">
        <v>545</v>
      </c>
      <c r="B1961" s="412">
        <f>VLOOKUP(B1939,'BANG LUONG 1'!$B$5:$AJ$56,27,0)</f>
        <v>4000000</v>
      </c>
      <c r="C1961" s="421">
        <v>25</v>
      </c>
      <c r="D1961" s="41"/>
    </row>
    <row r="1962" spans="1:5" x14ac:dyDescent="0.25">
      <c r="A1962" s="421" t="s">
        <v>544</v>
      </c>
      <c r="B1962" s="412">
        <f>VLOOKUP(B1939,'BANG LUONG 1'!$B$5:$AJ$56,28,0)</f>
        <v>0</v>
      </c>
      <c r="C1962" s="421">
        <v>26</v>
      </c>
      <c r="D1962" s="41"/>
    </row>
    <row r="1963" spans="1:5" x14ac:dyDescent="0.25">
      <c r="A1963" s="421" t="s">
        <v>712</v>
      </c>
      <c r="B1963" s="415">
        <f>VLOOKUP(B1939,'BANG LUONG 1'!$B$5:$AJ$56,32,0)</f>
        <v>0</v>
      </c>
      <c r="C1963" s="421"/>
      <c r="D1963" s="41"/>
    </row>
    <row r="1964" spans="1:5" x14ac:dyDescent="0.25">
      <c r="A1964" s="421" t="s">
        <v>713</v>
      </c>
      <c r="B1964" s="415">
        <f>VLOOKUP(B1939,'BANG LUONG 1'!$B$5:$AJ$56,33,0)</f>
        <v>0</v>
      </c>
      <c r="C1964" s="421"/>
      <c r="D1964" s="41"/>
    </row>
    <row r="1965" spans="1:5" x14ac:dyDescent="0.25">
      <c r="A1965" s="183" t="s">
        <v>707</v>
      </c>
      <c r="B1965" s="415">
        <f>VLOOKUP(B1939,'BANG LUONG 1'!$B$5:$AJ$56,34,0)</f>
        <v>0</v>
      </c>
      <c r="C1965" s="421"/>
      <c r="D1965" s="41"/>
      <c r="E1965" s="108" t="str">
        <f>B1940</f>
        <v>Lê Ngọc Đức</v>
      </c>
    </row>
    <row r="1966" spans="1:5" x14ac:dyDescent="0.25">
      <c r="A1966" s="183" t="s">
        <v>546</v>
      </c>
      <c r="B1966" s="415">
        <f>VLOOKUP(B1939,'BANG LUONG 1'!$B$5:$AJ$56,35,0)</f>
        <v>2380000</v>
      </c>
      <c r="C1966" s="421"/>
      <c r="D1966" s="41"/>
    </row>
    <row r="1967" spans="1:5" x14ac:dyDescent="0.25">
      <c r="A1967" s="184" t="s">
        <v>549</v>
      </c>
      <c r="B1967" s="424">
        <f>'BANG LUONG 1'!$P$3</f>
        <v>43733</v>
      </c>
    </row>
    <row r="1968" spans="1:5" x14ac:dyDescent="0.25">
      <c r="A1968" s="183" t="s">
        <v>1</v>
      </c>
      <c r="B1968" s="185" t="s">
        <v>154</v>
      </c>
      <c r="C1968" s="421">
        <v>1</v>
      </c>
      <c r="D1968" s="41"/>
    </row>
    <row r="1969" spans="1:5" x14ac:dyDescent="0.25">
      <c r="A1969" s="183" t="s">
        <v>2</v>
      </c>
      <c r="B1969" s="185" t="str">
        <f>VLOOKUP($B1968,'BANG LUONG 1'!$B$6:$AB$48,C1969,0)</f>
        <v>Nguyễn Tấn Kiệt</v>
      </c>
      <c r="C1969" s="421">
        <v>2</v>
      </c>
      <c r="D1969" s="41"/>
    </row>
    <row r="1970" spans="1:5" x14ac:dyDescent="0.25">
      <c r="A1970" s="421" t="s">
        <v>3</v>
      </c>
      <c r="B1970" s="41" t="str">
        <f>VLOOKUP($B1968,'BANG LUONG 1'!$B$6:$AJ$48,C1970,0)</f>
        <v xml:space="preserve">Công nhân </v>
      </c>
      <c r="C1970" s="421">
        <v>3</v>
      </c>
      <c r="D1970" s="41"/>
    </row>
    <row r="1971" spans="1:5" x14ac:dyDescent="0.25">
      <c r="A1971" s="421" t="s">
        <v>376</v>
      </c>
      <c r="B1971" s="410">
        <f>VLOOKUP($B1968,'BANG LUONG 1'!$B$5:$AJ$56,4,0)</f>
        <v>40869</v>
      </c>
      <c r="C1971" s="421">
        <v>4</v>
      </c>
      <c r="D1971" s="41"/>
    </row>
    <row r="1972" spans="1:5" x14ac:dyDescent="0.25">
      <c r="A1972" s="421" t="s">
        <v>698</v>
      </c>
      <c r="B1972" s="411">
        <f>VLOOKUP(B1968,'BANG LUONG 1'!$B$5:$AJ$56,6,0)</f>
        <v>7.0000000000000007E-2</v>
      </c>
      <c r="C1972" s="421">
        <v>5</v>
      </c>
      <c r="D1972" s="41"/>
    </row>
    <row r="1973" spans="1:5" x14ac:dyDescent="0.25">
      <c r="A1973" s="421" t="s">
        <v>229</v>
      </c>
      <c r="B1973" s="412">
        <f>'thang luong moi'!$F$5</f>
        <v>4012500</v>
      </c>
      <c r="C1973" s="421">
        <v>6</v>
      </c>
      <c r="D1973" s="41"/>
    </row>
    <row r="1974" spans="1:5" x14ac:dyDescent="0.25">
      <c r="A1974" s="421" t="s">
        <v>217</v>
      </c>
      <c r="B1974" s="412" t="str">
        <f>VLOOKUP(B1968,'BANG LUONG 1'!$B$5:$AJ$56,8,0)</f>
        <v>B.05</v>
      </c>
      <c r="C1974" s="421">
        <v>7</v>
      </c>
      <c r="D1974" s="41"/>
    </row>
    <row r="1975" spans="1:5" x14ac:dyDescent="0.25">
      <c r="A1975" s="421" t="s">
        <v>230</v>
      </c>
      <c r="B1975" s="412">
        <f>VLOOKUP(B1968,'BANG LUONG 1'!$B$5:$AJ$56,9,0)</f>
        <v>1</v>
      </c>
      <c r="C1975" s="421">
        <v>8</v>
      </c>
      <c r="D1975" s="41"/>
    </row>
    <row r="1976" spans="1:5" x14ac:dyDescent="0.25">
      <c r="A1976" s="421" t="s">
        <v>538</v>
      </c>
      <c r="B1976" s="412">
        <f>VLOOKUP(B1968,'BANG LUONG 1'!$B$5:$AJ$56,11,0)</f>
        <v>4213125</v>
      </c>
      <c r="C1976" s="421">
        <v>9</v>
      </c>
      <c r="D1976" s="41"/>
    </row>
    <row r="1977" spans="1:5" x14ac:dyDescent="0.25">
      <c r="A1977" s="421" t="s">
        <v>354</v>
      </c>
      <c r="B1977" s="412">
        <f>VLOOKUP(B1968,'BANG LUONG 1'!$B$5:$AJ$56,12,0)</f>
        <v>26</v>
      </c>
      <c r="C1977" s="421">
        <v>10</v>
      </c>
      <c r="D1977" s="41"/>
    </row>
    <row r="1978" spans="1:5" x14ac:dyDescent="0.25">
      <c r="A1978" s="421" t="s">
        <v>534</v>
      </c>
      <c r="B1978" s="412">
        <f>VLOOKUP(B1968,'BANG LUONG 1'!$B$5:$AJ$56,13,0)</f>
        <v>4213125</v>
      </c>
      <c r="C1978" s="421">
        <v>11</v>
      </c>
      <c r="D1978" s="41"/>
    </row>
    <row r="1979" spans="1:5" x14ac:dyDescent="0.25">
      <c r="A1979" s="421" t="s">
        <v>592</v>
      </c>
      <c r="B1979" s="412">
        <f>VLOOKUP(B1968,'BANG LUONG 1'!$B$5:$AJ$56,14,0)</f>
        <v>0</v>
      </c>
      <c r="C1979" s="421">
        <v>12</v>
      </c>
      <c r="D1979" s="41">
        <f>B1976/26*B1979</f>
        <v>0</v>
      </c>
    </row>
    <row r="1980" spans="1:5" x14ac:dyDescent="0.25">
      <c r="A1980" s="421" t="s">
        <v>357</v>
      </c>
      <c r="B1980" s="412">
        <f>VLOOKUP(B1968,'BANG LUONG 1'!$B$5:$AJ$56,15,0)</f>
        <v>0</v>
      </c>
      <c r="C1980" s="421">
        <v>13</v>
      </c>
      <c r="D1980" s="41">
        <f>B1976/26/8*1.5*B1980</f>
        <v>0</v>
      </c>
    </row>
    <row r="1981" spans="1:5" x14ac:dyDescent="0.25">
      <c r="A1981" s="421" t="s">
        <v>387</v>
      </c>
      <c r="B1981" s="412">
        <f>VLOOKUP(B1968,'BANG LUONG 1'!$B$5:$AJ$56,16,0)</f>
        <v>16</v>
      </c>
      <c r="C1981" s="421">
        <v>14</v>
      </c>
      <c r="D1981" s="41">
        <f>B1976/26/8*2*B1981</f>
        <v>648173.07692307688</v>
      </c>
    </row>
    <row r="1982" spans="1:5" x14ac:dyDescent="0.25">
      <c r="A1982" s="421" t="s">
        <v>593</v>
      </c>
      <c r="B1982" s="412">
        <f>VLOOKUP(B1968,'BANG LUONG 1'!$B$5:$AJ$56,17,0)</f>
        <v>1</v>
      </c>
      <c r="C1982" s="421"/>
      <c r="D1982" s="41">
        <f>(B1976/26)*B1982</f>
        <v>162043.26923076922</v>
      </c>
    </row>
    <row r="1983" spans="1:5" x14ac:dyDescent="0.25">
      <c r="A1983" s="421" t="s">
        <v>388</v>
      </c>
      <c r="B1983" s="412">
        <f>VLOOKUP(B1968,'BANG LUONG 1'!$B$5:$AJ$56,18,0)</f>
        <v>0</v>
      </c>
      <c r="C1983" s="421">
        <v>15</v>
      </c>
      <c r="D1983" s="41">
        <f>(B1976/26*B1983)*3</f>
        <v>0</v>
      </c>
    </row>
    <row r="1984" spans="1:5" x14ac:dyDescent="0.25">
      <c r="A1984" s="421" t="s">
        <v>533</v>
      </c>
      <c r="B1984" s="412">
        <f>VLOOKUP(B1968,'BANG LUONG 1'!$B$5:$AJ$56,19,0)</f>
        <v>5023341.346153846</v>
      </c>
      <c r="C1984" s="183">
        <v>16</v>
      </c>
      <c r="D1984" s="185">
        <f>B1978+D1980+D1981+D1979+D1983+D1982</f>
        <v>5023341.346153846</v>
      </c>
      <c r="E1984" s="108"/>
    </row>
    <row r="1985" spans="1:5" x14ac:dyDescent="0.25">
      <c r="A1985" s="421" t="s">
        <v>535</v>
      </c>
      <c r="B1985" s="412">
        <f>VLOOKUP(B1968,'BANG LUONG 1'!$B$5:$AJ$56,20,0)</f>
        <v>633028.84615384508</v>
      </c>
      <c r="C1985" s="421">
        <v>17</v>
      </c>
      <c r="D1985" s="41"/>
    </row>
    <row r="1986" spans="1:5" x14ac:dyDescent="0.25">
      <c r="A1986" s="421" t="s">
        <v>370</v>
      </c>
      <c r="B1986" s="412">
        <f>VLOOKUP(B1968,'BANG LUONG 1'!$B$5:$AJ$56,22,0)</f>
        <v>294918.75</v>
      </c>
      <c r="C1986" s="421">
        <v>18</v>
      </c>
      <c r="D1986" s="41"/>
    </row>
    <row r="1987" spans="1:5" x14ac:dyDescent="0.25">
      <c r="A1987" s="421" t="s">
        <v>371</v>
      </c>
      <c r="B1987" s="412">
        <f>VLOOKUP(B1968,'BANG LUONG 1'!$B$5:$AJ$56,23,0)</f>
        <v>300000</v>
      </c>
      <c r="C1987" s="421">
        <v>19</v>
      </c>
      <c r="D1987" s="41"/>
    </row>
    <row r="1988" spans="1:5" x14ac:dyDescent="0.25">
      <c r="A1988" s="421" t="s">
        <v>560</v>
      </c>
      <c r="B1988" s="412">
        <f>VLOOKUP(B1968,'BANG LUONG 1'!$B$5:$AJ$56,24,0)</f>
        <v>0</v>
      </c>
      <c r="C1988" s="421">
        <v>22</v>
      </c>
      <c r="D1988" s="41"/>
    </row>
    <row r="1989" spans="1:5" x14ac:dyDescent="0.25">
      <c r="A1989" s="183" t="s">
        <v>237</v>
      </c>
      <c r="B1989" s="415">
        <f>VLOOKUP(B1968,'BANG LUONG 1'!$B$5:$AJ$56,26,0)</f>
        <v>6251288.9423076911</v>
      </c>
      <c r="C1989" s="421">
        <v>24</v>
      </c>
      <c r="D1989" s="41"/>
    </row>
    <row r="1990" spans="1:5" x14ac:dyDescent="0.25">
      <c r="A1990" s="421" t="s">
        <v>545</v>
      </c>
      <c r="B1990" s="412">
        <f>VLOOKUP(B1968,'BANG LUONG 1'!$B$5:$AJ$56,27,0)</f>
        <v>4000000</v>
      </c>
      <c r="C1990" s="421">
        <v>25</v>
      </c>
      <c r="D1990" s="41"/>
    </row>
    <row r="1991" spans="1:5" x14ac:dyDescent="0.25">
      <c r="A1991" s="421" t="s">
        <v>544</v>
      </c>
      <c r="B1991" s="412">
        <f>VLOOKUP(B1968,'BANG LUONG 1'!$B$5:$AJ$56,28,0)</f>
        <v>480585</v>
      </c>
      <c r="C1991" s="421">
        <v>26</v>
      </c>
      <c r="D1991" s="41"/>
    </row>
    <row r="1992" spans="1:5" x14ac:dyDescent="0.25">
      <c r="A1992" s="421" t="s">
        <v>712</v>
      </c>
      <c r="B1992" s="415">
        <f>VLOOKUP(B1968,'BANG LUONG 1'!$B$5:$AJ$56,32,0)</f>
        <v>0</v>
      </c>
      <c r="C1992" s="421"/>
      <c r="D1992" s="41"/>
    </row>
    <row r="1993" spans="1:5" x14ac:dyDescent="0.25">
      <c r="A1993" s="421" t="s">
        <v>713</v>
      </c>
      <c r="B1993" s="415">
        <f>VLOOKUP(B1968,'BANG LUONG 1'!$B$5:$AJ$56,33,0)</f>
        <v>0</v>
      </c>
      <c r="C1993" s="421"/>
      <c r="D1993" s="41"/>
    </row>
    <row r="1994" spans="1:5" x14ac:dyDescent="0.25">
      <c r="A1994" s="183" t="s">
        <v>707</v>
      </c>
      <c r="B1994" s="415">
        <f>VLOOKUP(B1968,'BANG LUONG 1'!$B$5:$AJ$56,34,0)</f>
        <v>0</v>
      </c>
      <c r="C1994" s="421"/>
      <c r="D1994" s="41"/>
      <c r="E1994" s="108" t="str">
        <f>B1969</f>
        <v>Nguyễn Tấn Kiệt</v>
      </c>
    </row>
    <row r="1995" spans="1:5" x14ac:dyDescent="0.25">
      <c r="A1995" s="183" t="s">
        <v>546</v>
      </c>
      <c r="B1995" s="415">
        <f>VLOOKUP(B1968,'BANG LUONG 1'!$B$5:$AJ$56,35,0)</f>
        <v>1871000</v>
      </c>
      <c r="C1995" s="421"/>
      <c r="D1995" s="41"/>
    </row>
    <row r="1996" spans="1:5" x14ac:dyDescent="0.25">
      <c r="A1996" s="184" t="s">
        <v>549</v>
      </c>
      <c r="B1996" s="424">
        <f>'BANG LUONG 1'!$P$3</f>
        <v>43733</v>
      </c>
    </row>
    <row r="1997" spans="1:5" x14ac:dyDescent="0.25">
      <c r="A1997" s="183" t="s">
        <v>1</v>
      </c>
      <c r="B1997" s="185" t="s">
        <v>155</v>
      </c>
      <c r="C1997" s="421">
        <v>1</v>
      </c>
      <c r="D1997" s="41"/>
    </row>
    <row r="1998" spans="1:5" x14ac:dyDescent="0.25">
      <c r="A1998" s="183" t="s">
        <v>2</v>
      </c>
      <c r="B1998" s="185" t="str">
        <f>VLOOKUP($B1997,'BANG LUONG 1'!$B$6:$AB$48,C1998,0)</f>
        <v>Nguyễn Văn Rắng</v>
      </c>
      <c r="C1998" s="421">
        <v>2</v>
      </c>
      <c r="D1998" s="41"/>
    </row>
    <row r="1999" spans="1:5" x14ac:dyDescent="0.25">
      <c r="A1999" s="421" t="s">
        <v>3</v>
      </c>
      <c r="B1999" s="41" t="str">
        <f>VLOOKUP($B1997,'BANG LUONG 1'!$B$6:$AJ$48,C1999,0)</f>
        <v xml:space="preserve">Công nhân </v>
      </c>
      <c r="C1999" s="421">
        <v>3</v>
      </c>
      <c r="D1999" s="41"/>
    </row>
    <row r="2000" spans="1:5" x14ac:dyDescent="0.25">
      <c r="A2000" s="421" t="s">
        <v>376</v>
      </c>
      <c r="B2000" s="410">
        <f>VLOOKUP($B1997,'BANG LUONG 1'!$B$5:$AJ$56,4,0)</f>
        <v>42422</v>
      </c>
      <c r="C2000" s="421">
        <v>4</v>
      </c>
      <c r="D2000" s="41"/>
    </row>
    <row r="2001" spans="1:7" x14ac:dyDescent="0.25">
      <c r="A2001" s="421" t="s">
        <v>698</v>
      </c>
      <c r="B2001" s="411">
        <f>VLOOKUP(B1997,'BANG LUONG 1'!$B$5:$AJ$56,6,0)</f>
        <v>0.03</v>
      </c>
      <c r="C2001" s="421">
        <v>5</v>
      </c>
      <c r="D2001" s="41"/>
    </row>
    <row r="2002" spans="1:7" x14ac:dyDescent="0.25">
      <c r="A2002" s="421" t="s">
        <v>229</v>
      </c>
      <c r="B2002" s="412">
        <f>'thang luong moi'!$F$5</f>
        <v>4012500</v>
      </c>
      <c r="C2002" s="421">
        <v>6</v>
      </c>
      <c r="D2002" s="41"/>
    </row>
    <row r="2003" spans="1:7" x14ac:dyDescent="0.25">
      <c r="A2003" s="421" t="s">
        <v>217</v>
      </c>
      <c r="B2003" s="412" t="str">
        <f>VLOOKUP(B1997,'BANG LUONG 1'!$B$5:$AJ$56,8,0)</f>
        <v>B.05</v>
      </c>
      <c r="C2003" s="421">
        <v>7</v>
      </c>
      <c r="D2003" s="41"/>
    </row>
    <row r="2004" spans="1:7" x14ac:dyDescent="0.25">
      <c r="A2004" s="421" t="s">
        <v>230</v>
      </c>
      <c r="B2004" s="412">
        <f>VLOOKUP(B1997,'BANG LUONG 1'!$B$5:$AJ$56,9,0)</f>
        <v>1</v>
      </c>
      <c r="C2004" s="421">
        <v>8</v>
      </c>
      <c r="D2004" s="41"/>
    </row>
    <row r="2005" spans="1:7" x14ac:dyDescent="0.25">
      <c r="A2005" s="421" t="s">
        <v>538</v>
      </c>
      <c r="B2005" s="412">
        <f>VLOOKUP(B1997,'BANG LUONG 1'!$B$5:$AJ$56,11,0)</f>
        <v>4213125</v>
      </c>
      <c r="C2005" s="421">
        <v>9</v>
      </c>
      <c r="D2005" s="41"/>
    </row>
    <row r="2006" spans="1:7" x14ac:dyDescent="0.25">
      <c r="A2006" s="421" t="s">
        <v>354</v>
      </c>
      <c r="B2006" s="412">
        <f>VLOOKUP(B1997,'BANG LUONG 1'!$B$5:$AJ$56,12,0)</f>
        <v>26</v>
      </c>
      <c r="C2006" s="421">
        <v>10</v>
      </c>
      <c r="D2006" s="41"/>
    </row>
    <row r="2007" spans="1:7" x14ac:dyDescent="0.25">
      <c r="A2007" s="421" t="s">
        <v>534</v>
      </c>
      <c r="B2007" s="412">
        <f>VLOOKUP(B1997,'BANG LUONG 1'!$B$5:$AJ$56,13,0)</f>
        <v>4213125</v>
      </c>
      <c r="C2007" s="421">
        <v>11</v>
      </c>
      <c r="D2007" s="41"/>
    </row>
    <row r="2008" spans="1:7" x14ac:dyDescent="0.25">
      <c r="A2008" s="421" t="s">
        <v>592</v>
      </c>
      <c r="B2008" s="412">
        <f>VLOOKUP(B1997,'BANG LUONG 1'!$B$5:$AJ$56,14,0)</f>
        <v>0</v>
      </c>
      <c r="C2008" s="421">
        <v>12</v>
      </c>
      <c r="D2008" s="41">
        <f>B2005/26*B2008</f>
        <v>0</v>
      </c>
      <c r="E2008" s="999"/>
      <c r="F2008" s="1000"/>
      <c r="G2008" s="1001"/>
    </row>
    <row r="2009" spans="1:7" x14ac:dyDescent="0.25">
      <c r="A2009" s="421" t="s">
        <v>357</v>
      </c>
      <c r="B2009" s="412">
        <f>VLOOKUP(B1997,'BANG LUONG 1'!$B$5:$AJ$56,15,0)</f>
        <v>21</v>
      </c>
      <c r="C2009" s="421">
        <v>13</v>
      </c>
      <c r="D2009" s="41">
        <f>B2005/26/8*1.5*B2009</f>
        <v>638045.37259615376</v>
      </c>
      <c r="E2009" s="519"/>
      <c r="F2009" s="519"/>
      <c r="G2009" s="519"/>
    </row>
    <row r="2010" spans="1:7" x14ac:dyDescent="0.25">
      <c r="A2010" s="421" t="s">
        <v>387</v>
      </c>
      <c r="B2010" s="412">
        <f>VLOOKUP(B1997,'BANG LUONG 1'!$B$5:$AJ$56,16,0)</f>
        <v>16</v>
      </c>
      <c r="C2010" s="421">
        <v>14</v>
      </c>
      <c r="D2010" s="41">
        <f>B2005/26/8*2*B2010</f>
        <v>648173.07692307688</v>
      </c>
      <c r="E2010" s="519"/>
      <c r="F2010" s="519"/>
      <c r="G2010" s="519"/>
    </row>
    <row r="2011" spans="1:7" x14ac:dyDescent="0.25">
      <c r="A2011" s="421" t="s">
        <v>593</v>
      </c>
      <c r="B2011" s="412">
        <f>VLOOKUP(B1997,'BANG LUONG 1'!$B$5:$AJ$56,17,0)</f>
        <v>1</v>
      </c>
      <c r="C2011" s="421"/>
      <c r="D2011" s="41">
        <f>(B2005/26)*B2011</f>
        <v>162043.26923076922</v>
      </c>
      <c r="E2011" s="519"/>
      <c r="F2011" s="519"/>
      <c r="G2011" s="519"/>
    </row>
    <row r="2012" spans="1:7" x14ac:dyDescent="0.25">
      <c r="A2012" s="421" t="s">
        <v>388</v>
      </c>
      <c r="B2012" s="412">
        <f>VLOOKUP(B1997,'BANG LUONG 1'!$B$5:$AJ$56,18,0)</f>
        <v>0</v>
      </c>
      <c r="C2012" s="421">
        <v>15</v>
      </c>
      <c r="D2012" s="41">
        <f>(B2005/26*B2012)*3</f>
        <v>0</v>
      </c>
      <c r="E2012" s="519"/>
      <c r="F2012" s="519"/>
      <c r="G2012" s="519"/>
    </row>
    <row r="2013" spans="1:7" x14ac:dyDescent="0.25">
      <c r="A2013" s="421" t="s">
        <v>533</v>
      </c>
      <c r="B2013" s="412">
        <f>VLOOKUP(B1997,'BANG LUONG 1'!$B$5:$AJ$56,19,0)</f>
        <v>5661386.71875</v>
      </c>
      <c r="C2013" s="183">
        <v>16</v>
      </c>
      <c r="D2013" s="185">
        <f>B2007+D2009+D2010+D2008+D2012+D2011</f>
        <v>5661386.71875</v>
      </c>
      <c r="E2013" s="521"/>
      <c r="F2013" s="519"/>
      <c r="G2013" s="519"/>
    </row>
    <row r="2014" spans="1:7" x14ac:dyDescent="0.25">
      <c r="A2014" s="421" t="s">
        <v>535</v>
      </c>
      <c r="B2014" s="412">
        <f>VLOOKUP(B1997,'BANG LUONG 1'!$B$5:$AJ$56,20,0)</f>
        <v>8352203.8461538479</v>
      </c>
      <c r="C2014" s="421">
        <v>17</v>
      </c>
      <c r="D2014" s="41"/>
      <c r="E2014" s="519"/>
      <c r="F2014" s="519"/>
      <c r="G2014" s="519"/>
    </row>
    <row r="2015" spans="1:7" x14ac:dyDescent="0.25">
      <c r="A2015" s="421" t="s">
        <v>370</v>
      </c>
      <c r="B2015" s="412">
        <f>VLOOKUP(B1997,'BANG LUONG 1'!$B$5:$AJ$56,22,0)</f>
        <v>126393.75</v>
      </c>
      <c r="C2015" s="421">
        <v>18</v>
      </c>
      <c r="D2015" s="41"/>
      <c r="E2015" s="519"/>
      <c r="F2015" s="519"/>
      <c r="G2015" s="519"/>
    </row>
    <row r="2016" spans="1:7" x14ac:dyDescent="0.25">
      <c r="A2016" s="421" t="s">
        <v>371</v>
      </c>
      <c r="B2016" s="412">
        <f>VLOOKUP(B1997,'BANG LUONG 1'!$B$5:$AJ$56,23,0)</f>
        <v>300000</v>
      </c>
      <c r="C2016" s="421">
        <v>19</v>
      </c>
      <c r="D2016" s="41"/>
      <c r="E2016" s="519"/>
      <c r="F2016" s="521"/>
      <c r="G2016" s="519"/>
    </row>
    <row r="2017" spans="1:5" x14ac:dyDescent="0.25">
      <c r="A2017" s="421" t="s">
        <v>560</v>
      </c>
      <c r="B2017" s="412">
        <f>VLOOKUP(B1997,'BANG LUONG 1'!$B$5:$AJ$56,24,0)</f>
        <v>0</v>
      </c>
      <c r="C2017" s="421">
        <v>22</v>
      </c>
      <c r="D2017" s="41"/>
    </row>
    <row r="2018" spans="1:5" x14ac:dyDescent="0.25">
      <c r="A2018" s="183" t="s">
        <v>237</v>
      </c>
      <c r="B2018" s="415">
        <f>VLOOKUP(B1997,'BANG LUONG 1'!$B$5:$AJ$56,26,0)</f>
        <v>14439984.314903848</v>
      </c>
      <c r="C2018" s="421">
        <v>24</v>
      </c>
      <c r="D2018" s="41"/>
    </row>
    <row r="2019" spans="1:5" x14ac:dyDescent="0.25">
      <c r="A2019" s="421" t="s">
        <v>545</v>
      </c>
      <c r="B2019" s="412">
        <f>VLOOKUP(B1997,'BANG LUONG 1'!$B$5:$AJ$56,27,0)</f>
        <v>3000000</v>
      </c>
      <c r="C2019" s="421">
        <v>25</v>
      </c>
      <c r="D2019" s="41"/>
      <c r="E2019" s="522"/>
    </row>
    <row r="2020" spans="1:5" x14ac:dyDescent="0.25">
      <c r="A2020" s="421" t="s">
        <v>544</v>
      </c>
      <c r="B2020" s="412">
        <f>VLOOKUP(B1997,'BANG LUONG 1'!$B$5:$AJ$56,28,0)</f>
        <v>480585</v>
      </c>
      <c r="C2020" s="421">
        <v>26</v>
      </c>
      <c r="D2020" s="41"/>
    </row>
    <row r="2021" spans="1:5" x14ac:dyDescent="0.25">
      <c r="A2021" s="421" t="s">
        <v>712</v>
      </c>
      <c r="B2021" s="415">
        <f>VLOOKUP(B1997,'BANG LUONG 1'!$B$5:$AJ$56,32,0)</f>
        <v>0</v>
      </c>
      <c r="C2021" s="421"/>
      <c r="D2021" s="41"/>
    </row>
    <row r="2022" spans="1:5" x14ac:dyDescent="0.25">
      <c r="A2022" s="421" t="s">
        <v>713</v>
      </c>
      <c r="B2022" s="415">
        <f>VLOOKUP(B1997,'BANG LUONG 1'!$B$5:$AJ$56,33,0)</f>
        <v>154000</v>
      </c>
      <c r="C2022" s="421"/>
      <c r="D2022" s="41"/>
    </row>
    <row r="2023" spans="1:5" x14ac:dyDescent="0.25">
      <c r="A2023" s="183" t="s">
        <v>707</v>
      </c>
      <c r="B2023" s="415">
        <f>VLOOKUP(B1997,'BANG LUONG 1'!$B$5:$AJ$56,34,0)</f>
        <v>0</v>
      </c>
      <c r="C2023" s="421"/>
      <c r="D2023" s="41"/>
      <c r="E2023" s="108" t="str">
        <f>B1998</f>
        <v>Nguyễn Văn Rắng</v>
      </c>
    </row>
    <row r="2024" spans="1:5" x14ac:dyDescent="0.25">
      <c r="A2024" s="183" t="s">
        <v>546</v>
      </c>
      <c r="B2024" s="415">
        <f>VLOOKUP(B1997,'BANG LUONG 1'!$B$5:$AJ$56,35,0)</f>
        <v>11213000</v>
      </c>
      <c r="C2024" s="421"/>
      <c r="D2024" s="41"/>
    </row>
    <row r="2025" spans="1:5" x14ac:dyDescent="0.25">
      <c r="A2025" s="184" t="s">
        <v>549</v>
      </c>
      <c r="B2025" s="424">
        <f>'BANG LUONG 1'!$P$3</f>
        <v>43733</v>
      </c>
    </row>
    <row r="2026" spans="1:5" x14ac:dyDescent="0.25">
      <c r="A2026" s="183" t="s">
        <v>1</v>
      </c>
      <c r="B2026" s="185" t="s">
        <v>156</v>
      </c>
      <c r="C2026" s="421">
        <v>1</v>
      </c>
      <c r="D2026" s="41"/>
    </row>
    <row r="2027" spans="1:5" x14ac:dyDescent="0.25">
      <c r="A2027" s="183" t="s">
        <v>2</v>
      </c>
      <c r="B2027" s="185" t="str">
        <f>VLOOKUP($B2026,'BANG LUONG 1'!$B$6:$AB$48,C2027,0)</f>
        <v>Lê Ngọc Đức</v>
      </c>
      <c r="C2027" s="421">
        <v>2</v>
      </c>
      <c r="D2027" s="41"/>
    </row>
    <row r="2028" spans="1:5" x14ac:dyDescent="0.25">
      <c r="A2028" s="421" t="s">
        <v>3</v>
      </c>
      <c r="B2028" s="41" t="str">
        <f>VLOOKUP($B2026,'BANG LUONG 1'!$B$6:$AJ$48,C2028,0)</f>
        <v xml:space="preserve">Công nhân </v>
      </c>
      <c r="C2028" s="421">
        <v>3</v>
      </c>
      <c r="D2028" s="41"/>
    </row>
    <row r="2029" spans="1:5" x14ac:dyDescent="0.25">
      <c r="A2029" s="421" t="s">
        <v>376</v>
      </c>
      <c r="B2029" s="410">
        <f>VLOOKUP($B2026,'BANG LUONG 1'!$B$5:$AJ$56,4,0)</f>
        <v>43453</v>
      </c>
      <c r="C2029" s="421">
        <v>4</v>
      </c>
      <c r="D2029" s="41"/>
    </row>
    <row r="2030" spans="1:5" x14ac:dyDescent="0.25">
      <c r="A2030" s="421" t="s">
        <v>698</v>
      </c>
      <c r="B2030" s="411">
        <f>VLOOKUP(B2026,'BANG LUONG 1'!$B$5:$AJ$56,6,0)</f>
        <v>0</v>
      </c>
      <c r="C2030" s="421">
        <v>5</v>
      </c>
      <c r="D2030" s="41"/>
    </row>
    <row r="2031" spans="1:5" x14ac:dyDescent="0.25">
      <c r="A2031" s="421" t="s">
        <v>229</v>
      </c>
      <c r="B2031" s="412">
        <f>'thang luong moi'!$F$5</f>
        <v>4012500</v>
      </c>
      <c r="C2031" s="421">
        <v>6</v>
      </c>
      <c r="D2031" s="41"/>
    </row>
    <row r="2032" spans="1:5" x14ac:dyDescent="0.25">
      <c r="A2032" s="421" t="s">
        <v>217</v>
      </c>
      <c r="B2032" s="412" t="str">
        <f>VLOOKUP(B2026,'BANG LUONG 1'!$B$5:$AJ$56,8,0)</f>
        <v>B.05</v>
      </c>
      <c r="C2032" s="421">
        <v>7</v>
      </c>
      <c r="D2032" s="41"/>
    </row>
    <row r="2033" spans="1:7" x14ac:dyDescent="0.25">
      <c r="A2033" s="421" t="s">
        <v>230</v>
      </c>
      <c r="B2033" s="412">
        <f>VLOOKUP(B2026,'BANG LUONG 1'!$B$5:$AJ$56,9,0)</f>
        <v>1</v>
      </c>
      <c r="C2033" s="421">
        <v>8</v>
      </c>
      <c r="D2033" s="41"/>
    </row>
    <row r="2034" spans="1:7" x14ac:dyDescent="0.25">
      <c r="A2034" s="421" t="s">
        <v>538</v>
      </c>
      <c r="B2034" s="412">
        <f>VLOOKUP(B2026,'BANG LUONG 1'!$B$5:$AJ$56,11,0)</f>
        <v>4213125</v>
      </c>
      <c r="C2034" s="421">
        <v>9</v>
      </c>
      <c r="D2034" s="41"/>
    </row>
    <row r="2035" spans="1:7" x14ac:dyDescent="0.25">
      <c r="A2035" s="421" t="s">
        <v>354</v>
      </c>
      <c r="B2035" s="412">
        <f>VLOOKUP(B2026,'BANG LUONG 1'!$B$5:$AJ$56,12,0)</f>
        <v>25</v>
      </c>
      <c r="C2035" s="421">
        <v>10</v>
      </c>
      <c r="D2035" s="41"/>
    </row>
    <row r="2036" spans="1:7" x14ac:dyDescent="0.25">
      <c r="A2036" s="421" t="s">
        <v>534</v>
      </c>
      <c r="B2036" s="412">
        <f>VLOOKUP(B2026,'BANG LUONG 1'!$B$5:$AJ$56,13,0)</f>
        <v>4051081.7307692305</v>
      </c>
      <c r="C2036" s="421">
        <v>11</v>
      </c>
      <c r="D2036" s="41"/>
    </row>
    <row r="2037" spans="1:7" x14ac:dyDescent="0.25">
      <c r="A2037" s="421" t="s">
        <v>592</v>
      </c>
      <c r="B2037" s="412">
        <f>VLOOKUP(B2026,'BANG LUONG 1'!$B$5:$AJ$56,14,0)</f>
        <v>0</v>
      </c>
      <c r="C2037" s="421">
        <v>12</v>
      </c>
      <c r="D2037" s="41">
        <f>B2034/26*B2037</f>
        <v>0</v>
      </c>
      <c r="E2037" s="999"/>
      <c r="F2037" s="1000"/>
      <c r="G2037" s="1001"/>
    </row>
    <row r="2038" spans="1:7" x14ac:dyDescent="0.25">
      <c r="A2038" s="421" t="s">
        <v>357</v>
      </c>
      <c r="B2038" s="412">
        <f>VLOOKUP(B2026,'BANG LUONG 1'!$B$5:$AJ$56,15,0)</f>
        <v>0</v>
      </c>
      <c r="C2038" s="421">
        <v>13</v>
      </c>
      <c r="D2038" s="41">
        <f>B2034/26/8*1.5*B2038</f>
        <v>0</v>
      </c>
      <c r="E2038" s="519"/>
      <c r="F2038" s="519"/>
      <c r="G2038" s="519"/>
    </row>
    <row r="2039" spans="1:7" x14ac:dyDescent="0.25">
      <c r="A2039" s="421" t="s">
        <v>387</v>
      </c>
      <c r="B2039" s="412">
        <f>VLOOKUP(B2026,'BANG LUONG 1'!$B$5:$AJ$56,16,0)</f>
        <v>24</v>
      </c>
      <c r="C2039" s="421">
        <v>14</v>
      </c>
      <c r="D2039" s="41">
        <f>B2034/26/8*2*B2039</f>
        <v>972259.61538461526</v>
      </c>
      <c r="E2039" s="519"/>
      <c r="F2039" s="519"/>
      <c r="G2039" s="519"/>
    </row>
    <row r="2040" spans="1:7" x14ac:dyDescent="0.25">
      <c r="A2040" s="421" t="s">
        <v>593</v>
      </c>
      <c r="B2040" s="412">
        <f>VLOOKUP(B2026,'BANG LUONG 1'!$B$5:$AJ$56,17,0)</f>
        <v>1</v>
      </c>
      <c r="C2040" s="421"/>
      <c r="D2040" s="41">
        <f>(B2034/26)*B2040</f>
        <v>162043.26923076922</v>
      </c>
      <c r="E2040" s="519"/>
      <c r="F2040" s="519"/>
      <c r="G2040" s="519"/>
    </row>
    <row r="2041" spans="1:7" x14ac:dyDescent="0.25">
      <c r="A2041" s="421" t="s">
        <v>388</v>
      </c>
      <c r="B2041" s="412">
        <f>VLOOKUP(B2026,'BANG LUONG 1'!$B$5:$AJ$56,18,0)</f>
        <v>0</v>
      </c>
      <c r="C2041" s="421">
        <v>15</v>
      </c>
      <c r="D2041" s="41">
        <f>(B2034/26*B2041)*3</f>
        <v>0</v>
      </c>
      <c r="E2041" s="519"/>
      <c r="F2041" s="519"/>
      <c r="G2041" s="519"/>
    </row>
    <row r="2042" spans="1:7" x14ac:dyDescent="0.25">
      <c r="A2042" s="421" t="s">
        <v>533</v>
      </c>
      <c r="B2042" s="412">
        <f>VLOOKUP(B2026,'BANG LUONG 1'!$B$5:$AJ$56,19,0)</f>
        <v>5185384.615384615</v>
      </c>
      <c r="C2042" s="183">
        <v>16</v>
      </c>
      <c r="D2042" s="185">
        <f>B2036+D2038+D2039+D2037+D2041+D2040</f>
        <v>5185384.615384615</v>
      </c>
      <c r="E2042" s="521"/>
      <c r="F2042" s="519"/>
      <c r="G2042" s="519"/>
    </row>
    <row r="2043" spans="1:7" x14ac:dyDescent="0.25">
      <c r="A2043" s="421" t="s">
        <v>535</v>
      </c>
      <c r="B2043" s="412">
        <f>VLOOKUP(B2026,'BANG LUONG 1'!$B$5:$AJ$56,20,0)</f>
        <v>795072.11538461456</v>
      </c>
      <c r="C2043" s="421">
        <v>17</v>
      </c>
      <c r="D2043" s="41"/>
      <c r="E2043" s="519"/>
      <c r="F2043" s="519"/>
      <c r="G2043" s="519"/>
    </row>
    <row r="2044" spans="1:7" x14ac:dyDescent="0.25">
      <c r="A2044" s="421" t="s">
        <v>370</v>
      </c>
      <c r="B2044" s="412">
        <f>VLOOKUP(B2026,'BANG LUONG 1'!$B$5:$AJ$56,22,0)</f>
        <v>0</v>
      </c>
      <c r="C2044" s="421">
        <v>18</v>
      </c>
      <c r="D2044" s="41"/>
      <c r="E2044" s="519"/>
      <c r="F2044" s="519"/>
      <c r="G2044" s="519"/>
    </row>
    <row r="2045" spans="1:7" x14ac:dyDescent="0.25">
      <c r="A2045" s="421" t="s">
        <v>371</v>
      </c>
      <c r="B2045" s="412">
        <f>VLOOKUP(B2026,'BANG LUONG 1'!$B$5:$AJ$56,23,0)</f>
        <v>300000</v>
      </c>
      <c r="C2045" s="421">
        <v>19</v>
      </c>
      <c r="D2045" s="41"/>
      <c r="E2045" s="519"/>
      <c r="F2045" s="521"/>
      <c r="G2045" s="519"/>
    </row>
    <row r="2046" spans="1:7" x14ac:dyDescent="0.25">
      <c r="A2046" s="421" t="s">
        <v>560</v>
      </c>
      <c r="B2046" s="412">
        <f>VLOOKUP(B2026,'BANG LUONG 1'!$B$5:$AJ$56,24,0)</f>
        <v>0</v>
      </c>
      <c r="C2046" s="421">
        <v>22</v>
      </c>
      <c r="D2046" s="41"/>
    </row>
    <row r="2047" spans="1:7" x14ac:dyDescent="0.25">
      <c r="A2047" s="183" t="s">
        <v>237</v>
      </c>
      <c r="B2047" s="415">
        <f>VLOOKUP(B2026,'BANG LUONG 1'!$B$5:$AJ$56,26,0)</f>
        <v>6280456.7307692301</v>
      </c>
      <c r="C2047" s="421">
        <v>24</v>
      </c>
      <c r="D2047" s="41"/>
    </row>
    <row r="2048" spans="1:7" x14ac:dyDescent="0.25">
      <c r="A2048" s="421" t="s">
        <v>545</v>
      </c>
      <c r="B2048" s="412">
        <f>VLOOKUP(B2026,'BANG LUONG 1'!$B$5:$AJ$56,27,0)</f>
        <v>4000000</v>
      </c>
      <c r="C2048" s="421">
        <v>25</v>
      </c>
      <c r="D2048" s="41"/>
      <c r="E2048" s="522"/>
    </row>
    <row r="2049" spans="1:5" x14ac:dyDescent="0.25">
      <c r="A2049" s="421" t="s">
        <v>544</v>
      </c>
      <c r="B2049" s="412">
        <f>VLOOKUP(B2026,'BANG LUONG 1'!$B$5:$AJ$56,28,0)</f>
        <v>0</v>
      </c>
      <c r="C2049" s="421">
        <v>26</v>
      </c>
      <c r="D2049" s="41"/>
    </row>
    <row r="2050" spans="1:5" x14ac:dyDescent="0.25">
      <c r="A2050" s="421" t="s">
        <v>712</v>
      </c>
      <c r="B2050" s="415">
        <f>VLOOKUP(B2026,'BANG LUONG 1'!$B$5:$AJ$56,32,0)</f>
        <v>0</v>
      </c>
      <c r="C2050" s="421"/>
      <c r="D2050" s="41"/>
    </row>
    <row r="2051" spans="1:5" x14ac:dyDescent="0.25">
      <c r="A2051" s="421" t="s">
        <v>713</v>
      </c>
      <c r="B2051" s="415">
        <f>VLOOKUP(B2026,'BANG LUONG 1'!$B$5:$AJ$56,33,0)</f>
        <v>0</v>
      </c>
      <c r="C2051" s="421"/>
      <c r="D2051" s="41"/>
    </row>
    <row r="2052" spans="1:5" x14ac:dyDescent="0.25">
      <c r="A2052" s="183" t="s">
        <v>707</v>
      </c>
      <c r="B2052" s="415">
        <f>VLOOKUP(B2026,'BANG LUONG 1'!$B$5:$AJ$56,34,0)</f>
        <v>0</v>
      </c>
      <c r="C2052" s="421"/>
      <c r="D2052" s="41"/>
      <c r="E2052" s="108" t="str">
        <f>B2027</f>
        <v>Lê Ngọc Đức</v>
      </c>
    </row>
    <row r="2053" spans="1:5" x14ac:dyDescent="0.25">
      <c r="A2053" s="183" t="s">
        <v>546</v>
      </c>
      <c r="B2053" s="415">
        <f>VLOOKUP(B2026,'BANG LUONG 1'!$B$5:$AJ$56,35,0)</f>
        <v>2380000</v>
      </c>
      <c r="C2053" s="421"/>
      <c r="D2053" s="41"/>
    </row>
    <row r="2054" spans="1:5" x14ac:dyDescent="0.25">
      <c r="A2054" s="184" t="s">
        <v>549</v>
      </c>
      <c r="B2054" s="424">
        <f>'BANG LUONG 1'!$P$3</f>
        <v>43733</v>
      </c>
    </row>
    <row r="2055" spans="1:5" x14ac:dyDescent="0.25">
      <c r="A2055" s="183" t="s">
        <v>1</v>
      </c>
      <c r="B2055" s="185" t="s">
        <v>157</v>
      </c>
      <c r="C2055" s="421">
        <v>1</v>
      </c>
      <c r="D2055" s="41"/>
    </row>
    <row r="2056" spans="1:5" x14ac:dyDescent="0.25">
      <c r="A2056" s="183" t="s">
        <v>2</v>
      </c>
      <c r="B2056" s="185" t="e">
        <f>VLOOKUP($B2055,'BANG LUONG 1'!$B$6:$AB$48,C2056,0)</f>
        <v>#N/A</v>
      </c>
      <c r="C2056" s="421">
        <v>2</v>
      </c>
      <c r="D2056" s="41"/>
    </row>
    <row r="2057" spans="1:5" x14ac:dyDescent="0.25">
      <c r="A2057" s="421" t="s">
        <v>3</v>
      </c>
      <c r="B2057" s="41" t="e">
        <f>VLOOKUP($B2055,'BANG LUONG 1'!$B$6:$AJ$48,C2057,0)</f>
        <v>#N/A</v>
      </c>
      <c r="C2057" s="421">
        <v>3</v>
      </c>
      <c r="D2057" s="41"/>
    </row>
    <row r="2058" spans="1:5" x14ac:dyDescent="0.25">
      <c r="A2058" s="421" t="s">
        <v>376</v>
      </c>
      <c r="B2058" s="410" t="e">
        <f>VLOOKUP($B2055,'BANG LUONG 1'!$B$5:$AJ$56,4,0)</f>
        <v>#N/A</v>
      </c>
      <c r="C2058" s="421">
        <v>4</v>
      </c>
      <c r="D2058" s="41"/>
    </row>
    <row r="2059" spans="1:5" x14ac:dyDescent="0.25">
      <c r="A2059" s="421" t="s">
        <v>698</v>
      </c>
      <c r="B2059" s="411" t="e">
        <f>VLOOKUP(B2055,'BANG LUONG 1'!$B$5:$AJ$56,6,0)</f>
        <v>#N/A</v>
      </c>
      <c r="C2059" s="421">
        <v>5</v>
      </c>
      <c r="D2059" s="41"/>
    </row>
    <row r="2060" spans="1:5" x14ac:dyDescent="0.25">
      <c r="A2060" s="421" t="s">
        <v>229</v>
      </c>
      <c r="B2060" s="412">
        <f>'thang luong moi'!$F$5</f>
        <v>4012500</v>
      </c>
      <c r="C2060" s="421">
        <v>6</v>
      </c>
      <c r="D2060" s="41"/>
    </row>
    <row r="2061" spans="1:5" x14ac:dyDescent="0.25">
      <c r="A2061" s="421" t="s">
        <v>217</v>
      </c>
      <c r="B2061" s="412" t="e">
        <f>VLOOKUP(B2055,'BANG LUONG 1'!$B$5:$AJ$56,8,0)</f>
        <v>#N/A</v>
      </c>
      <c r="C2061" s="421">
        <v>7</v>
      </c>
      <c r="D2061" s="41"/>
    </row>
    <row r="2062" spans="1:5" x14ac:dyDescent="0.25">
      <c r="A2062" s="421" t="s">
        <v>230</v>
      </c>
      <c r="B2062" s="412" t="e">
        <f>VLOOKUP(B2055,'BANG LUONG 1'!$B$5:$AJ$56,9,0)</f>
        <v>#N/A</v>
      </c>
      <c r="C2062" s="421">
        <v>8</v>
      </c>
      <c r="D2062" s="41"/>
    </row>
    <row r="2063" spans="1:5" x14ac:dyDescent="0.25">
      <c r="A2063" s="421" t="s">
        <v>538</v>
      </c>
      <c r="B2063" s="412" t="e">
        <f>VLOOKUP(B2055,'BANG LUONG 1'!$B$5:$AJ$56,11,0)</f>
        <v>#N/A</v>
      </c>
      <c r="C2063" s="421">
        <v>9</v>
      </c>
      <c r="D2063" s="41"/>
    </row>
    <row r="2064" spans="1:5" x14ac:dyDescent="0.25">
      <c r="A2064" s="421" t="s">
        <v>354</v>
      </c>
      <c r="B2064" s="412" t="e">
        <f>VLOOKUP(B2055,'BANG LUONG 1'!$B$5:$AJ$56,12,0)</f>
        <v>#N/A</v>
      </c>
      <c r="C2064" s="421">
        <v>10</v>
      </c>
      <c r="D2064" s="41"/>
    </row>
    <row r="2065" spans="1:5" x14ac:dyDescent="0.25">
      <c r="A2065" s="421" t="s">
        <v>534</v>
      </c>
      <c r="B2065" s="412" t="e">
        <f>VLOOKUP(B2055,'BANG LUONG 1'!$B$5:$AJ$56,13,0)</f>
        <v>#N/A</v>
      </c>
      <c r="C2065" s="421">
        <v>11</v>
      </c>
      <c r="D2065" s="41"/>
    </row>
    <row r="2066" spans="1:5" x14ac:dyDescent="0.25">
      <c r="A2066" s="421" t="s">
        <v>592</v>
      </c>
      <c r="B2066" s="412" t="e">
        <f>VLOOKUP(B2055,'BANG LUONG 1'!$B$5:$AJ$56,14,0)</f>
        <v>#N/A</v>
      </c>
      <c r="C2066" s="421">
        <v>12</v>
      </c>
      <c r="D2066" s="41" t="e">
        <f>B2063/26*B2066</f>
        <v>#N/A</v>
      </c>
    </row>
    <row r="2067" spans="1:5" x14ac:dyDescent="0.25">
      <c r="A2067" s="421" t="s">
        <v>357</v>
      </c>
      <c r="B2067" s="412" t="e">
        <f>VLOOKUP(B2055,'BANG LUONG 1'!$B$5:$AJ$56,15,0)</f>
        <v>#N/A</v>
      </c>
      <c r="C2067" s="421">
        <v>13</v>
      </c>
      <c r="D2067" s="41" t="e">
        <f>B2063/26/8*1.5*B2067</f>
        <v>#N/A</v>
      </c>
    </row>
    <row r="2068" spans="1:5" x14ac:dyDescent="0.25">
      <c r="A2068" s="421" t="s">
        <v>387</v>
      </c>
      <c r="B2068" s="412" t="e">
        <f>VLOOKUP(B2055,'BANG LUONG 1'!$B$5:$AJ$56,16,0)</f>
        <v>#N/A</v>
      </c>
      <c r="C2068" s="421">
        <v>14</v>
      </c>
      <c r="D2068" s="41" t="e">
        <f>B2063/26/8*2*B2068</f>
        <v>#N/A</v>
      </c>
    </row>
    <row r="2069" spans="1:5" x14ac:dyDescent="0.25">
      <c r="A2069" s="421" t="s">
        <v>593</v>
      </c>
      <c r="B2069" s="412" t="e">
        <f>VLOOKUP(B2055,'BANG LUONG 1'!$B$5:$AJ$56,17,0)</f>
        <v>#N/A</v>
      </c>
      <c r="C2069" s="421"/>
      <c r="D2069" s="41" t="e">
        <f>(B2063/26)*B2069</f>
        <v>#N/A</v>
      </c>
    </row>
    <row r="2070" spans="1:5" x14ac:dyDescent="0.25">
      <c r="A2070" s="421" t="s">
        <v>388</v>
      </c>
      <c r="B2070" s="412" t="e">
        <f>VLOOKUP(B2055,'BANG LUONG 1'!$B$5:$AJ$56,18,0)</f>
        <v>#N/A</v>
      </c>
      <c r="C2070" s="421">
        <v>15</v>
      </c>
      <c r="D2070" s="41" t="e">
        <f>(B2063/26*B2070)*3</f>
        <v>#N/A</v>
      </c>
    </row>
    <row r="2071" spans="1:5" x14ac:dyDescent="0.25">
      <c r="A2071" s="421" t="s">
        <v>533</v>
      </c>
      <c r="B2071" s="412" t="e">
        <f>VLOOKUP(B2055,'BANG LUONG 1'!$B$5:$AJ$56,19,0)</f>
        <v>#N/A</v>
      </c>
      <c r="C2071" s="183">
        <v>16</v>
      </c>
      <c r="D2071" s="185" t="e">
        <f>B2065+D2067+D2068+D2066+D2070+D2069</f>
        <v>#N/A</v>
      </c>
      <c r="E2071" s="108"/>
    </row>
    <row r="2072" spans="1:5" x14ac:dyDescent="0.25">
      <c r="A2072" s="421" t="s">
        <v>535</v>
      </c>
      <c r="B2072" s="412" t="e">
        <f>VLOOKUP(B2055,'BANG LUONG 1'!$B$5:$AJ$56,20,0)</f>
        <v>#N/A</v>
      </c>
      <c r="C2072" s="421">
        <v>17</v>
      </c>
      <c r="D2072" s="41"/>
    </row>
    <row r="2073" spans="1:5" x14ac:dyDescent="0.25">
      <c r="A2073" s="421" t="s">
        <v>370</v>
      </c>
      <c r="B2073" s="412" t="e">
        <f>VLOOKUP(B2055,'BANG LUONG 1'!$B$5:$AJ$56,22,0)</f>
        <v>#N/A</v>
      </c>
      <c r="C2073" s="421">
        <v>18</v>
      </c>
      <c r="D2073" s="41"/>
    </row>
    <row r="2074" spans="1:5" x14ac:dyDescent="0.25">
      <c r="A2074" s="421" t="s">
        <v>371</v>
      </c>
      <c r="B2074" s="412" t="e">
        <f>VLOOKUP(B2055,'BANG LUONG 1'!$B$5:$AJ$56,23,0)</f>
        <v>#N/A</v>
      </c>
      <c r="C2074" s="421">
        <v>19</v>
      </c>
      <c r="D2074" s="41"/>
    </row>
    <row r="2075" spans="1:5" x14ac:dyDescent="0.25">
      <c r="A2075" s="421" t="s">
        <v>560</v>
      </c>
      <c r="B2075" s="412" t="e">
        <f>VLOOKUP(B2055,'BANG LUONG 1'!$B$5:$AJ$56,24,0)</f>
        <v>#N/A</v>
      </c>
      <c r="C2075" s="421">
        <v>22</v>
      </c>
      <c r="D2075" s="41"/>
    </row>
    <row r="2076" spans="1:5" x14ac:dyDescent="0.25">
      <c r="A2076" s="183" t="s">
        <v>237</v>
      </c>
      <c r="B2076" s="415" t="e">
        <f>VLOOKUP(B2055,'BANG LUONG 1'!$B$5:$AJ$56,26,0)</f>
        <v>#N/A</v>
      </c>
      <c r="C2076" s="421">
        <v>24</v>
      </c>
      <c r="D2076" s="41"/>
    </row>
    <row r="2077" spans="1:5" x14ac:dyDescent="0.25">
      <c r="A2077" s="421" t="s">
        <v>545</v>
      </c>
      <c r="B2077" s="412" t="e">
        <f>VLOOKUP(B2055,'BANG LUONG 1'!$B$5:$AJ$56,27,0)</f>
        <v>#N/A</v>
      </c>
      <c r="C2077" s="421">
        <v>25</v>
      </c>
      <c r="D2077" s="41"/>
    </row>
    <row r="2078" spans="1:5" x14ac:dyDescent="0.25">
      <c r="A2078" s="421" t="s">
        <v>544</v>
      </c>
      <c r="B2078" s="412" t="e">
        <f>VLOOKUP(B2055,'BANG LUONG 1'!$B$5:$AJ$56,28,0)</f>
        <v>#N/A</v>
      </c>
      <c r="C2078" s="421">
        <v>26</v>
      </c>
      <c r="D2078" s="41"/>
    </row>
    <row r="2079" spans="1:5" x14ac:dyDescent="0.25">
      <c r="A2079" s="421" t="s">
        <v>712</v>
      </c>
      <c r="B2079" s="415" t="e">
        <f>VLOOKUP(B2055,'BANG LUONG 1'!$B$5:$AJ$56,32,0)</f>
        <v>#N/A</v>
      </c>
      <c r="C2079" s="421"/>
      <c r="D2079" s="41"/>
    </row>
    <row r="2080" spans="1:5" x14ac:dyDescent="0.25">
      <c r="A2080" s="421" t="s">
        <v>713</v>
      </c>
      <c r="B2080" s="415" t="e">
        <f>VLOOKUP(B2055,'BANG LUONG 1'!$B$5:$AJ$56,33,0)</f>
        <v>#N/A</v>
      </c>
      <c r="C2080" s="421"/>
      <c r="D2080" s="41"/>
    </row>
    <row r="2081" spans="1:5" x14ac:dyDescent="0.25">
      <c r="A2081" s="183" t="s">
        <v>707</v>
      </c>
      <c r="B2081" s="415" t="e">
        <f>VLOOKUP(B2055,'BANG LUONG 1'!$B$5:$AJ$56,34,0)</f>
        <v>#N/A</v>
      </c>
      <c r="C2081" s="421"/>
      <c r="D2081" s="41"/>
      <c r="E2081" s="108" t="e">
        <f>B2056</f>
        <v>#N/A</v>
      </c>
    </row>
    <row r="2082" spans="1:5" x14ac:dyDescent="0.25">
      <c r="A2082" s="183" t="s">
        <v>546</v>
      </c>
      <c r="B2082" s="415" t="e">
        <f>VLOOKUP(B2055,'BANG LUONG 1'!$B$5:$AJ$56,35,0)</f>
        <v>#N/A</v>
      </c>
      <c r="C2082" s="421"/>
      <c r="D2082" s="41"/>
    </row>
    <row r="2083" spans="1:5" x14ac:dyDescent="0.25">
      <c r="A2083" s="184" t="s">
        <v>549</v>
      </c>
      <c r="B2083" s="424">
        <f>'BANG LUONG 1'!$P$3</f>
        <v>43733</v>
      </c>
    </row>
    <row r="2084" spans="1:5" x14ac:dyDescent="0.25">
      <c r="A2084" s="183" t="s">
        <v>1</v>
      </c>
      <c r="B2084" s="185" t="s">
        <v>158</v>
      </c>
      <c r="C2084" s="421">
        <v>1</v>
      </c>
      <c r="D2084" s="41"/>
    </row>
    <row r="2085" spans="1:5" x14ac:dyDescent="0.25">
      <c r="A2085" s="183" t="s">
        <v>2</v>
      </c>
      <c r="B2085" s="185" t="str">
        <f>VLOOKUP($B2084,'BANG LUONG 1'!$B$6:$AB$48,C2085,0)</f>
        <v>Bùi Văn Ây</v>
      </c>
      <c r="C2085" s="421">
        <v>2</v>
      </c>
      <c r="D2085" s="41"/>
    </row>
    <row r="2086" spans="1:5" x14ac:dyDescent="0.25">
      <c r="A2086" s="421" t="s">
        <v>3</v>
      </c>
      <c r="B2086" s="41" t="str">
        <f>VLOOKUP($B2084,'BANG LUONG 1'!$B$6:$AJ$48,C2086,0)</f>
        <v xml:space="preserve">Công nhân </v>
      </c>
      <c r="C2086" s="421">
        <v>3</v>
      </c>
      <c r="D2086" s="41"/>
    </row>
    <row r="2087" spans="1:5" x14ac:dyDescent="0.25">
      <c r="A2087" s="421" t="s">
        <v>376</v>
      </c>
      <c r="B2087" s="410">
        <f>VLOOKUP($B2084,'BANG LUONG 1'!$B$5:$AJ$56,4,0)</f>
        <v>43458</v>
      </c>
      <c r="C2087" s="421">
        <v>4</v>
      </c>
      <c r="D2087" s="41"/>
    </row>
    <row r="2088" spans="1:5" x14ac:dyDescent="0.25">
      <c r="A2088" s="421" t="s">
        <v>698</v>
      </c>
      <c r="B2088" s="411">
        <f>VLOOKUP(B2084,'BANG LUONG 1'!$B$5:$AJ$56,6,0)</f>
        <v>0</v>
      </c>
      <c r="C2088" s="421">
        <v>5</v>
      </c>
      <c r="D2088" s="41"/>
    </row>
    <row r="2089" spans="1:5" x14ac:dyDescent="0.25">
      <c r="A2089" s="421" t="s">
        <v>229</v>
      </c>
      <c r="B2089" s="412">
        <f>'thang luong moi'!$F$5</f>
        <v>4012500</v>
      </c>
      <c r="C2089" s="421">
        <v>6</v>
      </c>
      <c r="D2089" s="41"/>
    </row>
    <row r="2090" spans="1:5" x14ac:dyDescent="0.25">
      <c r="A2090" s="421" t="s">
        <v>217</v>
      </c>
      <c r="B2090" s="412" t="str">
        <f>VLOOKUP(B2084,'BANG LUONG 1'!$B$5:$AJ$56,8,0)</f>
        <v>B.05</v>
      </c>
      <c r="C2090" s="421">
        <v>7</v>
      </c>
      <c r="D2090" s="41"/>
    </row>
    <row r="2091" spans="1:5" x14ac:dyDescent="0.25">
      <c r="A2091" s="421" t="s">
        <v>230</v>
      </c>
      <c r="B2091" s="412">
        <f>VLOOKUP(B2084,'BANG LUONG 1'!$B$5:$AJ$56,9,0)</f>
        <v>1</v>
      </c>
      <c r="C2091" s="421">
        <v>8</v>
      </c>
      <c r="D2091" s="41"/>
    </row>
    <row r="2092" spans="1:5" x14ac:dyDescent="0.25">
      <c r="A2092" s="421" t="s">
        <v>538</v>
      </c>
      <c r="B2092" s="412">
        <f>VLOOKUP(B2084,'BANG LUONG 1'!$B$5:$AJ$56,11,0)</f>
        <v>4213125</v>
      </c>
      <c r="C2092" s="421">
        <v>9</v>
      </c>
      <c r="D2092" s="41"/>
    </row>
    <row r="2093" spans="1:5" x14ac:dyDescent="0.25">
      <c r="A2093" s="421" t="s">
        <v>354</v>
      </c>
      <c r="B2093" s="412">
        <f>VLOOKUP(B2084,'BANG LUONG 1'!$B$5:$AJ$56,12,0)</f>
        <v>26</v>
      </c>
      <c r="C2093" s="421">
        <v>10</v>
      </c>
      <c r="D2093" s="41"/>
    </row>
    <row r="2094" spans="1:5" x14ac:dyDescent="0.25">
      <c r="A2094" s="421" t="s">
        <v>534</v>
      </c>
      <c r="B2094" s="412">
        <f>VLOOKUP(B2084,'BANG LUONG 1'!$B$5:$AJ$56,13,0)</f>
        <v>4213125</v>
      </c>
      <c r="C2094" s="421">
        <v>11</v>
      </c>
      <c r="D2094" s="41"/>
    </row>
    <row r="2095" spans="1:5" x14ac:dyDescent="0.25">
      <c r="A2095" s="421" t="s">
        <v>592</v>
      </c>
      <c r="B2095" s="412">
        <f>VLOOKUP(B2084,'BANG LUONG 1'!$B$5:$AJ$56,14,0)</f>
        <v>0</v>
      </c>
      <c r="C2095" s="421">
        <v>12</v>
      </c>
      <c r="D2095" s="41">
        <f>B2092/26*B2095</f>
        <v>0</v>
      </c>
    </row>
    <row r="2096" spans="1:5" x14ac:dyDescent="0.25">
      <c r="A2096" s="421" t="s">
        <v>357</v>
      </c>
      <c r="B2096" s="412">
        <f>VLOOKUP(B2084,'BANG LUONG 1'!$B$5:$AJ$56,15,0)</f>
        <v>0</v>
      </c>
      <c r="C2096" s="421">
        <v>13</v>
      </c>
      <c r="D2096" s="41">
        <f>B2092/26/8*1.5*B2096</f>
        <v>0</v>
      </c>
    </row>
    <row r="2097" spans="1:5" x14ac:dyDescent="0.25">
      <c r="A2097" s="421" t="s">
        <v>387</v>
      </c>
      <c r="B2097" s="412">
        <f>VLOOKUP(B2084,'BANG LUONG 1'!$B$5:$AJ$56,16,0)</f>
        <v>32</v>
      </c>
      <c r="C2097" s="421">
        <v>14</v>
      </c>
      <c r="D2097" s="41">
        <f>B2092/26/8*2*B2097</f>
        <v>1296346.1538461538</v>
      </c>
    </row>
    <row r="2098" spans="1:5" x14ac:dyDescent="0.25">
      <c r="A2098" s="421" t="s">
        <v>593</v>
      </c>
      <c r="B2098" s="412">
        <f>VLOOKUP(B2084,'BANG LUONG 1'!$B$5:$AJ$56,17,0)</f>
        <v>1</v>
      </c>
      <c r="C2098" s="421"/>
      <c r="D2098" s="41">
        <f>(B2092/26)*B2098</f>
        <v>162043.26923076922</v>
      </c>
    </row>
    <row r="2099" spans="1:5" x14ac:dyDescent="0.25">
      <c r="A2099" s="421" t="s">
        <v>388</v>
      </c>
      <c r="B2099" s="412">
        <f>VLOOKUP(B2084,'BANG LUONG 1'!$B$5:$AJ$56,18,0)</f>
        <v>0</v>
      </c>
      <c r="C2099" s="421">
        <v>15</v>
      </c>
      <c r="D2099" s="41">
        <f>(B2092/26*B2099)*3</f>
        <v>0</v>
      </c>
    </row>
    <row r="2100" spans="1:5" x14ac:dyDescent="0.25">
      <c r="A2100" s="421" t="s">
        <v>533</v>
      </c>
      <c r="B2100" s="412">
        <f>VLOOKUP(B2084,'BANG LUONG 1'!$B$5:$AJ$56,19,0)</f>
        <v>5671514.423076923</v>
      </c>
      <c r="C2100" s="183">
        <v>16</v>
      </c>
      <c r="D2100" s="185">
        <f>B2094+D2096+D2097+D2095+D2099+D2098</f>
        <v>5671514.423076923</v>
      </c>
      <c r="E2100" s="108"/>
    </row>
    <row r="2101" spans="1:5" x14ac:dyDescent="0.25">
      <c r="A2101" s="421" t="s">
        <v>535</v>
      </c>
      <c r="B2101" s="412">
        <f>VLOOKUP(B2084,'BANG LUONG 1'!$B$5:$AJ$56,20,0)</f>
        <v>979182.69230769202</v>
      </c>
      <c r="C2101" s="421">
        <v>17</v>
      </c>
      <c r="D2101" s="41"/>
    </row>
    <row r="2102" spans="1:5" x14ac:dyDescent="0.25">
      <c r="A2102" s="421" t="s">
        <v>370</v>
      </c>
      <c r="B2102" s="412">
        <f>VLOOKUP(B2084,'BANG LUONG 1'!$B$5:$AJ$56,22,0)</f>
        <v>0</v>
      </c>
      <c r="C2102" s="421">
        <v>18</v>
      </c>
      <c r="D2102" s="41"/>
    </row>
    <row r="2103" spans="1:5" x14ac:dyDescent="0.25">
      <c r="A2103" s="421" t="s">
        <v>371</v>
      </c>
      <c r="B2103" s="412">
        <f>VLOOKUP(B2084,'BANG LUONG 1'!$B$5:$AJ$56,23,0)</f>
        <v>300000</v>
      </c>
      <c r="C2103" s="421">
        <v>19</v>
      </c>
      <c r="D2103" s="41"/>
    </row>
    <row r="2104" spans="1:5" x14ac:dyDescent="0.25">
      <c r="A2104" s="421" t="s">
        <v>560</v>
      </c>
      <c r="B2104" s="412">
        <f>VLOOKUP(B2084,'BANG LUONG 1'!$B$5:$AJ$56,24,0)</f>
        <v>0</v>
      </c>
      <c r="C2104" s="421">
        <v>22</v>
      </c>
      <c r="D2104" s="41"/>
    </row>
    <row r="2105" spans="1:5" x14ac:dyDescent="0.25">
      <c r="A2105" s="183" t="s">
        <v>237</v>
      </c>
      <c r="B2105" s="415">
        <f>VLOOKUP(B2084,'BANG LUONG 1'!$B$5:$AJ$56,26,0)</f>
        <v>6950697.115384615</v>
      </c>
      <c r="C2105" s="421">
        <v>24</v>
      </c>
      <c r="D2105" s="41"/>
    </row>
    <row r="2106" spans="1:5" x14ac:dyDescent="0.25">
      <c r="A2106" s="421" t="s">
        <v>545</v>
      </c>
      <c r="B2106" s="412">
        <f>VLOOKUP(B2084,'BANG LUONG 1'!$B$5:$AJ$56,27,0)</f>
        <v>4000000</v>
      </c>
      <c r="C2106" s="421">
        <v>25</v>
      </c>
      <c r="D2106" s="41"/>
    </row>
    <row r="2107" spans="1:5" x14ac:dyDescent="0.25">
      <c r="A2107" s="421" t="s">
        <v>544</v>
      </c>
      <c r="B2107" s="412">
        <f>VLOOKUP(B2084,'BANG LUONG 1'!$B$5:$AJ$56,28,0)</f>
        <v>0</v>
      </c>
      <c r="C2107" s="421">
        <v>26</v>
      </c>
      <c r="D2107" s="41"/>
    </row>
    <row r="2108" spans="1:5" x14ac:dyDescent="0.25">
      <c r="A2108" s="421" t="s">
        <v>712</v>
      </c>
      <c r="B2108" s="415">
        <f>VLOOKUP(B2084,'BANG LUONG 1'!$B$5:$AJ$56,32,0)</f>
        <v>0</v>
      </c>
      <c r="C2108" s="421"/>
      <c r="D2108" s="41"/>
    </row>
    <row r="2109" spans="1:5" x14ac:dyDescent="0.25">
      <c r="A2109" s="421" t="s">
        <v>713</v>
      </c>
      <c r="B2109" s="415">
        <f>VLOOKUP(B2084,'BANG LUONG 1'!$B$5:$AJ$56,33,0)</f>
        <v>0</v>
      </c>
      <c r="C2109" s="421"/>
      <c r="D2109" s="41"/>
    </row>
    <row r="2110" spans="1:5" x14ac:dyDescent="0.25">
      <c r="A2110" s="183" t="s">
        <v>707</v>
      </c>
      <c r="B2110" s="415">
        <f>VLOOKUP(B2084,'BANG LUONG 1'!$B$5:$AJ$56,34,0)</f>
        <v>0</v>
      </c>
      <c r="C2110" s="421"/>
      <c r="D2110" s="41"/>
      <c r="E2110" s="108" t="str">
        <f>B2085</f>
        <v>Bùi Văn Ây</v>
      </c>
    </row>
    <row r="2111" spans="1:5" x14ac:dyDescent="0.25">
      <c r="A2111" s="183" t="s">
        <v>546</v>
      </c>
      <c r="B2111" s="415">
        <f>VLOOKUP(B2084,'BANG LUONG 1'!$B$5:$AJ$56,35,0)</f>
        <v>3051000</v>
      </c>
      <c r="C2111" s="421"/>
      <c r="D2111" s="41"/>
    </row>
    <row r="2112" spans="1:5" x14ac:dyDescent="0.25">
      <c r="A2112" s="184" t="s">
        <v>549</v>
      </c>
      <c r="B2112" s="424">
        <f>'BANG LUONG 1'!$P$3</f>
        <v>43733</v>
      </c>
    </row>
    <row r="2113" spans="1:4" x14ac:dyDescent="0.25">
      <c r="A2113" s="183" t="s">
        <v>1</v>
      </c>
      <c r="B2113" s="185" t="s">
        <v>159</v>
      </c>
      <c r="C2113" s="421">
        <v>1</v>
      </c>
      <c r="D2113" s="41"/>
    </row>
    <row r="2114" spans="1:4" x14ac:dyDescent="0.25">
      <c r="A2114" s="183" t="s">
        <v>2</v>
      </c>
      <c r="B2114" s="185" t="str">
        <f>VLOOKUP($B2113,'BANG LUONG 1'!$B$6:$AB$51,C2114,0)</f>
        <v>Ngô Đình Chung</v>
      </c>
      <c r="C2114" s="421">
        <v>2</v>
      </c>
      <c r="D2114" s="41"/>
    </row>
    <row r="2115" spans="1:4" x14ac:dyDescent="0.25">
      <c r="A2115" s="421" t="s">
        <v>3</v>
      </c>
      <c r="B2115" s="41" t="str">
        <f>VLOOKUP($B2113,'BANG LUONG 1'!$B$6:$AJ$51,C2115,0)</f>
        <v>GS Vườn rau</v>
      </c>
      <c r="C2115" s="421">
        <v>3</v>
      </c>
      <c r="D2115" s="41"/>
    </row>
    <row r="2116" spans="1:4" x14ac:dyDescent="0.25">
      <c r="A2116" s="421" t="s">
        <v>376</v>
      </c>
      <c r="B2116" s="410">
        <f>VLOOKUP($B2113,'BANG LUONG 1'!$B$5:$AJ$56,4,0)</f>
        <v>42086</v>
      </c>
      <c r="C2116" s="421">
        <v>4</v>
      </c>
      <c r="D2116" s="41"/>
    </row>
    <row r="2117" spans="1:4" x14ac:dyDescent="0.25">
      <c r="A2117" s="421" t="s">
        <v>698</v>
      </c>
      <c r="B2117" s="411">
        <f>VLOOKUP(B2113,'BANG LUONG 1'!$B$5:$AJ$56,6,0)</f>
        <v>0.04</v>
      </c>
      <c r="C2117" s="421">
        <v>5</v>
      </c>
      <c r="D2117" s="41"/>
    </row>
    <row r="2118" spans="1:4" x14ac:dyDescent="0.25">
      <c r="A2118" s="421" t="s">
        <v>229</v>
      </c>
      <c r="B2118" s="412">
        <f>'thang luong moi'!$F$5</f>
        <v>4012500</v>
      </c>
      <c r="C2118" s="421">
        <v>6</v>
      </c>
      <c r="D2118" s="41"/>
    </row>
    <row r="2119" spans="1:4" x14ac:dyDescent="0.25">
      <c r="A2119" s="421" t="s">
        <v>217</v>
      </c>
      <c r="B2119" s="412" t="str">
        <f>VLOOKUP(B2113,'BANG LUONG 1'!$B$5:$AJ$56,8,0)</f>
        <v>B.01</v>
      </c>
      <c r="C2119" s="421">
        <v>7</v>
      </c>
      <c r="D2119" s="41"/>
    </row>
    <row r="2120" spans="1:4" x14ac:dyDescent="0.25">
      <c r="A2120" s="421" t="s">
        <v>230</v>
      </c>
      <c r="B2120" s="412">
        <f>VLOOKUP(B2113,'BANG LUONG 1'!$B$5:$AJ$56,9,0)</f>
        <v>1</v>
      </c>
      <c r="C2120" s="421">
        <v>8</v>
      </c>
      <c r="D2120" s="41"/>
    </row>
    <row r="2121" spans="1:4" x14ac:dyDescent="0.25">
      <c r="A2121" s="421" t="s">
        <v>538</v>
      </c>
      <c r="B2121" s="412">
        <f>VLOOKUP(B2113,'BANG LUONG 1'!$B$5:$AJ$56,11,0)</f>
        <v>4381650</v>
      </c>
      <c r="C2121" s="421">
        <v>9</v>
      </c>
      <c r="D2121" s="41"/>
    </row>
    <row r="2122" spans="1:4" x14ac:dyDescent="0.25">
      <c r="A2122" s="421" t="s">
        <v>354</v>
      </c>
      <c r="B2122" s="412">
        <f>VLOOKUP(B2113,'BANG LUONG 1'!$B$5:$AJ$56,12,0)</f>
        <v>23</v>
      </c>
      <c r="C2122" s="421">
        <v>10</v>
      </c>
      <c r="D2122" s="41"/>
    </row>
    <row r="2123" spans="1:4" x14ac:dyDescent="0.25">
      <c r="A2123" s="421" t="s">
        <v>534</v>
      </c>
      <c r="B2123" s="412">
        <f>VLOOKUP(B2113,'BANG LUONG 1'!$B$5:$AJ$56,13,0)</f>
        <v>3876075</v>
      </c>
      <c r="C2123" s="421">
        <v>11</v>
      </c>
      <c r="D2123" s="41"/>
    </row>
    <row r="2124" spans="1:4" x14ac:dyDescent="0.25">
      <c r="A2124" s="421" t="s">
        <v>592</v>
      </c>
      <c r="B2124" s="412">
        <f>VLOOKUP(B2113,'BANG LUONG 1'!$B$5:$AJ$56,14,0)</f>
        <v>0</v>
      </c>
      <c r="C2124" s="421">
        <v>12</v>
      </c>
      <c r="D2124" s="41">
        <f>B2121/26*B2124</f>
        <v>0</v>
      </c>
    </row>
    <row r="2125" spans="1:4" x14ac:dyDescent="0.25">
      <c r="A2125" s="421" t="s">
        <v>357</v>
      </c>
      <c r="B2125" s="412">
        <f>VLOOKUP(B2113,'BANG LUONG 1'!$B$5:$AJ$56,15,0)</f>
        <v>0</v>
      </c>
      <c r="C2125" s="421">
        <v>13</v>
      </c>
      <c r="D2125" s="41">
        <f>B2121/26/8*1.5*B2125</f>
        <v>0</v>
      </c>
    </row>
    <row r="2126" spans="1:4" x14ac:dyDescent="0.25">
      <c r="A2126" s="421" t="s">
        <v>387</v>
      </c>
      <c r="B2126" s="412">
        <f>VLOOKUP(B2113,'BANG LUONG 1'!$B$5:$AJ$56,16,0)</f>
        <v>0</v>
      </c>
      <c r="C2126" s="421">
        <v>14</v>
      </c>
      <c r="D2126" s="41">
        <f>B2121/26/8*2*B2126</f>
        <v>0</v>
      </c>
    </row>
    <row r="2127" spans="1:4" x14ac:dyDescent="0.25">
      <c r="A2127" s="421" t="s">
        <v>593</v>
      </c>
      <c r="B2127" s="412">
        <f>VLOOKUP(B2113,'BANG LUONG 1'!$B$5:$AJ$56,17,0)</f>
        <v>1</v>
      </c>
      <c r="C2127" s="421"/>
      <c r="D2127" s="41">
        <f>(B2121/26)*B2127</f>
        <v>168525</v>
      </c>
    </row>
    <row r="2128" spans="1:4" x14ac:dyDescent="0.25">
      <c r="A2128" s="421" t="s">
        <v>388</v>
      </c>
      <c r="B2128" s="412">
        <f>VLOOKUP(B2113,'BANG LUONG 1'!$B$5:$AJ$56,18,0)</f>
        <v>0</v>
      </c>
      <c r="C2128" s="421">
        <v>15</v>
      </c>
      <c r="D2128" s="41">
        <f>(B2121/26*B2128)*3</f>
        <v>0</v>
      </c>
    </row>
    <row r="2129" spans="1:5" x14ac:dyDescent="0.25">
      <c r="A2129" s="421" t="s">
        <v>533</v>
      </c>
      <c r="B2129" s="412">
        <f>VLOOKUP(B2113,'BANG LUONG 1'!$B$5:$AJ$56,19,0)</f>
        <v>4752292.307692308</v>
      </c>
      <c r="C2129" s="183">
        <v>16</v>
      </c>
      <c r="D2129" s="185">
        <f>B2123+D2125+D2126+D2124+D2128+D2127</f>
        <v>4044600</v>
      </c>
      <c r="E2129" s="108"/>
    </row>
    <row r="2130" spans="1:5" x14ac:dyDescent="0.25">
      <c r="A2130" s="421" t="s">
        <v>535</v>
      </c>
      <c r="B2130" s="412">
        <f>VLOOKUP(B2113,'BANG LUONG 1'!$B$5:$AJ$56,20,0)</f>
        <v>0</v>
      </c>
      <c r="C2130" s="421">
        <v>17</v>
      </c>
      <c r="D2130" s="41"/>
    </row>
    <row r="2131" spans="1:5" x14ac:dyDescent="0.25">
      <c r="A2131" s="421" t="s">
        <v>370</v>
      </c>
      <c r="B2131" s="412">
        <f>VLOOKUP(B2113,'BANG LUONG 1'!$B$5:$AJ$56,22,0)</f>
        <v>175266</v>
      </c>
      <c r="C2131" s="421">
        <v>18</v>
      </c>
      <c r="D2131" s="41"/>
    </row>
    <row r="2132" spans="1:5" x14ac:dyDescent="0.25">
      <c r="A2132" s="421" t="s">
        <v>371</v>
      </c>
      <c r="B2132" s="412">
        <f>VLOOKUP(B2113,'BANG LUONG 1'!$B$5:$AJ$56,23,0)</f>
        <v>0</v>
      </c>
      <c r="C2132" s="421">
        <v>19</v>
      </c>
      <c r="D2132" s="41"/>
    </row>
    <row r="2133" spans="1:5" x14ac:dyDescent="0.25">
      <c r="A2133" s="421" t="s">
        <v>560</v>
      </c>
      <c r="B2133" s="412">
        <f>VLOOKUP(B2113,'BANG LUONG 1'!$B$5:$AJ$56,24,0)</f>
        <v>800000</v>
      </c>
      <c r="C2133" s="421">
        <v>22</v>
      </c>
      <c r="D2133" s="41"/>
    </row>
    <row r="2134" spans="1:5" x14ac:dyDescent="0.25">
      <c r="A2134" s="183" t="s">
        <v>237</v>
      </c>
      <c r="B2134" s="415">
        <f>VLOOKUP(B2113,'BANG LUONG 1'!$B$5:$AJ$56,26,0)</f>
        <v>4927558.307692308</v>
      </c>
      <c r="C2134" s="421">
        <v>24</v>
      </c>
      <c r="D2134" s="41"/>
    </row>
    <row r="2135" spans="1:5" x14ac:dyDescent="0.25">
      <c r="A2135" s="421" t="s">
        <v>545</v>
      </c>
      <c r="B2135" s="412">
        <f>VLOOKUP(B2113,'BANG LUONG 1'!$B$5:$AJ$56,27,0)</f>
        <v>2000000</v>
      </c>
      <c r="C2135" s="421">
        <v>25</v>
      </c>
      <c r="D2135" s="41"/>
    </row>
    <row r="2136" spans="1:5" x14ac:dyDescent="0.25">
      <c r="A2136" s="421" t="s">
        <v>544</v>
      </c>
      <c r="B2136" s="412">
        <f>VLOOKUP(B2113,'BANG LUONG 1'!$B$5:$AJ$56,28,0)</f>
        <v>0</v>
      </c>
      <c r="C2136" s="421">
        <v>26</v>
      </c>
      <c r="D2136" s="41"/>
    </row>
    <row r="2137" spans="1:5" x14ac:dyDescent="0.25">
      <c r="A2137" s="421" t="s">
        <v>712</v>
      </c>
      <c r="B2137" s="415">
        <f>VLOOKUP(B2113,'BANG LUONG 1'!$B$5:$AJ$56,32,0)</f>
        <v>0</v>
      </c>
      <c r="C2137" s="421"/>
      <c r="D2137" s="41"/>
    </row>
    <row r="2138" spans="1:5" x14ac:dyDescent="0.25">
      <c r="A2138" s="421" t="s">
        <v>713</v>
      </c>
      <c r="B2138" s="415">
        <f>VLOOKUP(B2113,'BANG LUONG 1'!$B$5:$AJ$56,33,0)</f>
        <v>0</v>
      </c>
      <c r="C2138" s="421"/>
      <c r="D2138" s="41"/>
    </row>
    <row r="2139" spans="1:5" x14ac:dyDescent="0.25">
      <c r="A2139" s="183" t="s">
        <v>707</v>
      </c>
      <c r="B2139" s="415">
        <f>VLOOKUP(B2113,'BANG LUONG 1'!$B$5:$AJ$56,34,0)</f>
        <v>0</v>
      </c>
      <c r="C2139" s="421"/>
      <c r="D2139" s="41"/>
      <c r="E2139" s="108" t="str">
        <f>B2114</f>
        <v>Ngô Đình Chung</v>
      </c>
    </row>
    <row r="2140" spans="1:5" x14ac:dyDescent="0.25">
      <c r="A2140" s="183" t="s">
        <v>546</v>
      </c>
      <c r="B2140" s="415">
        <f>VLOOKUP(B2113,'BANG LUONG 1'!$B$5:$AJ$56,35,0)</f>
        <v>3028000</v>
      </c>
      <c r="C2140" s="421"/>
      <c r="D2140" s="41"/>
    </row>
    <row r="2141" spans="1:5" x14ac:dyDescent="0.25">
      <c r="A2141" s="184" t="s">
        <v>549</v>
      </c>
      <c r="B2141" s="424">
        <f>'BANG LUONG 1'!$P$3</f>
        <v>43733</v>
      </c>
    </row>
    <row r="2142" spans="1:5" x14ac:dyDescent="0.25">
      <c r="A2142" s="183" t="s">
        <v>1</v>
      </c>
      <c r="B2142" s="185" t="s">
        <v>160</v>
      </c>
      <c r="C2142" s="421">
        <v>1</v>
      </c>
      <c r="D2142" s="41"/>
    </row>
    <row r="2143" spans="1:5" x14ac:dyDescent="0.25">
      <c r="A2143" s="183" t="s">
        <v>2</v>
      </c>
      <c r="B2143" s="185" t="str">
        <f>VLOOKUP($B2142,'BANG LUONG 1'!$B$6:$AB$51,C2143,0)</f>
        <v>Triệu Minh Tuấn</v>
      </c>
      <c r="C2143" s="421">
        <v>2</v>
      </c>
      <c r="D2143" s="41"/>
    </row>
    <row r="2144" spans="1:5" x14ac:dyDescent="0.25">
      <c r="A2144" s="421" t="s">
        <v>3</v>
      </c>
      <c r="B2144" s="41" t="str">
        <f>VLOOKUP($B2142,'BANG LUONG 1'!$B$6:$AJ$51,C2144,0)</f>
        <v xml:space="preserve">Công nhân </v>
      </c>
      <c r="C2144" s="421">
        <v>3</v>
      </c>
      <c r="D2144" s="41"/>
    </row>
    <row r="2145" spans="1:5" x14ac:dyDescent="0.25">
      <c r="A2145" s="421" t="s">
        <v>376</v>
      </c>
      <c r="B2145" s="410">
        <f>VLOOKUP($B2142,'BANG LUONG 1'!$B$5:$AJ$56,4,0)</f>
        <v>41706</v>
      </c>
      <c r="C2145" s="421">
        <v>4</v>
      </c>
      <c r="D2145" s="41"/>
    </row>
    <row r="2146" spans="1:5" x14ac:dyDescent="0.25">
      <c r="A2146" s="421" t="s">
        <v>698</v>
      </c>
      <c r="B2146" s="411">
        <f>VLOOKUP(B2142,'BANG LUONG 1'!$B$5:$AJ$56,6,0)</f>
        <v>0.05</v>
      </c>
      <c r="C2146" s="421">
        <v>5</v>
      </c>
      <c r="D2146" s="41"/>
    </row>
    <row r="2147" spans="1:5" x14ac:dyDescent="0.25">
      <c r="A2147" s="421" t="s">
        <v>229</v>
      </c>
      <c r="B2147" s="412">
        <f>'thang luong moi'!$F$5</f>
        <v>4012500</v>
      </c>
      <c r="C2147" s="421">
        <v>6</v>
      </c>
      <c r="D2147" s="41"/>
    </row>
    <row r="2148" spans="1:5" x14ac:dyDescent="0.25">
      <c r="A2148" s="421" t="s">
        <v>217</v>
      </c>
      <c r="B2148" s="412" t="str">
        <f>VLOOKUP(B2142,'BANG LUONG 1'!$B$5:$AJ$56,8,0)</f>
        <v>B.05</v>
      </c>
      <c r="C2148" s="421">
        <v>7</v>
      </c>
      <c r="D2148" s="41"/>
    </row>
    <row r="2149" spans="1:5" x14ac:dyDescent="0.25">
      <c r="A2149" s="421" t="s">
        <v>230</v>
      </c>
      <c r="B2149" s="412">
        <f>VLOOKUP(B2142,'BANG LUONG 1'!$B$5:$AJ$56,9,0)</f>
        <v>1</v>
      </c>
      <c r="C2149" s="421">
        <v>8</v>
      </c>
      <c r="D2149" s="41"/>
    </row>
    <row r="2150" spans="1:5" x14ac:dyDescent="0.25">
      <c r="A2150" s="421" t="s">
        <v>538</v>
      </c>
      <c r="B2150" s="412">
        <f>VLOOKUP(B2142,'BANG LUONG 1'!$B$5:$AJ$56,11,0)</f>
        <v>4213125</v>
      </c>
      <c r="C2150" s="421">
        <v>9</v>
      </c>
      <c r="D2150" s="41"/>
    </row>
    <row r="2151" spans="1:5" x14ac:dyDescent="0.25">
      <c r="A2151" s="421" t="s">
        <v>354</v>
      </c>
      <c r="B2151" s="412">
        <f>VLOOKUP(B2142,'BANG LUONG 1'!$B$5:$AJ$56,12,0)</f>
        <v>24</v>
      </c>
      <c r="C2151" s="421">
        <v>10</v>
      </c>
      <c r="D2151" s="41"/>
    </row>
    <row r="2152" spans="1:5" x14ac:dyDescent="0.25">
      <c r="A2152" s="421" t="s">
        <v>534</v>
      </c>
      <c r="B2152" s="412">
        <f>VLOOKUP(B2142,'BANG LUONG 1'!$B$5:$AJ$56,13,0)</f>
        <v>3889038.461538461</v>
      </c>
      <c r="C2152" s="421">
        <v>11</v>
      </c>
      <c r="D2152" s="41"/>
    </row>
    <row r="2153" spans="1:5" x14ac:dyDescent="0.25">
      <c r="A2153" s="421" t="s">
        <v>592</v>
      </c>
      <c r="B2153" s="412">
        <f>VLOOKUP(B2142,'BANG LUONG 1'!$B$5:$AJ$56,14,0)</f>
        <v>2</v>
      </c>
      <c r="C2153" s="421">
        <v>12</v>
      </c>
      <c r="D2153" s="41">
        <f>B2150/26*B2153</f>
        <v>324086.53846153844</v>
      </c>
    </row>
    <row r="2154" spans="1:5" x14ac:dyDescent="0.25">
      <c r="A2154" s="421" t="s">
        <v>357</v>
      </c>
      <c r="B2154" s="412">
        <f>VLOOKUP(B2142,'BANG LUONG 1'!$B$5:$AJ$56,15,0)</f>
        <v>0</v>
      </c>
      <c r="C2154" s="421">
        <v>13</v>
      </c>
      <c r="D2154" s="41">
        <f>B2150/26/8*1.5*B2154</f>
        <v>0</v>
      </c>
    </row>
    <row r="2155" spans="1:5" x14ac:dyDescent="0.25">
      <c r="A2155" s="421" t="s">
        <v>387</v>
      </c>
      <c r="B2155" s="412">
        <f>VLOOKUP(B2142,'BANG LUONG 1'!$B$5:$AJ$56,16,0)</f>
        <v>16</v>
      </c>
      <c r="C2155" s="421">
        <v>14</v>
      </c>
      <c r="D2155" s="41">
        <f>B2150/26/8*2*B2155</f>
        <v>648173.07692307688</v>
      </c>
    </row>
    <row r="2156" spans="1:5" x14ac:dyDescent="0.25">
      <c r="A2156" s="421" t="s">
        <v>593</v>
      </c>
      <c r="B2156" s="412">
        <f>VLOOKUP(B2142,'BANG LUONG 1'!$B$5:$AJ$56,17,0)</f>
        <v>1</v>
      </c>
      <c r="C2156" s="421"/>
      <c r="D2156" s="41">
        <f>(B2150/26)*B2156</f>
        <v>162043.26923076922</v>
      </c>
    </row>
    <row r="2157" spans="1:5" x14ac:dyDescent="0.25">
      <c r="A2157" s="421" t="s">
        <v>388</v>
      </c>
      <c r="B2157" s="412">
        <f>VLOOKUP(B2142,'BANG LUONG 1'!$B$5:$AJ$56,18,0)</f>
        <v>0</v>
      </c>
      <c r="C2157" s="421">
        <v>15</v>
      </c>
      <c r="D2157" s="41">
        <f>(B2150/26*B2157)*3</f>
        <v>0</v>
      </c>
    </row>
    <row r="2158" spans="1:5" x14ac:dyDescent="0.25">
      <c r="A2158" s="421" t="s">
        <v>533</v>
      </c>
      <c r="B2158" s="412">
        <f>VLOOKUP(B2142,'BANG LUONG 1'!$B$5:$AJ$56,19,0)</f>
        <v>5023341.3461538451</v>
      </c>
      <c r="C2158" s="183">
        <v>16</v>
      </c>
      <c r="D2158" s="185">
        <f>B2152+D2154+D2155+D2153+D2157+D2156</f>
        <v>5023341.3461538451</v>
      </c>
      <c r="E2158" s="108"/>
    </row>
    <row r="2159" spans="1:5" x14ac:dyDescent="0.25">
      <c r="A2159" s="421" t="s">
        <v>535</v>
      </c>
      <c r="B2159" s="412">
        <f>VLOOKUP(B2142,'BANG LUONG 1'!$B$5:$AJ$56,20,0)</f>
        <v>810961.53846153896</v>
      </c>
      <c r="C2159" s="421">
        <v>17</v>
      </c>
      <c r="D2159" s="41"/>
    </row>
    <row r="2160" spans="1:5" x14ac:dyDescent="0.25">
      <c r="A2160" s="421" t="s">
        <v>370</v>
      </c>
      <c r="B2160" s="412">
        <f>VLOOKUP(B2142,'BANG LUONG 1'!$B$5:$AJ$56,22,0)</f>
        <v>210656.25</v>
      </c>
      <c r="C2160" s="421">
        <v>18</v>
      </c>
      <c r="D2160" s="41"/>
    </row>
    <row r="2161" spans="1:5" x14ac:dyDescent="0.25">
      <c r="A2161" s="421" t="s">
        <v>371</v>
      </c>
      <c r="B2161" s="412">
        <f>VLOOKUP(B2142,'BANG LUONG 1'!$B$5:$AJ$56,23,0)</f>
        <v>300000</v>
      </c>
      <c r="C2161" s="421">
        <v>19</v>
      </c>
      <c r="D2161" s="41"/>
    </row>
    <row r="2162" spans="1:5" x14ac:dyDescent="0.25">
      <c r="A2162" s="421" t="s">
        <v>560</v>
      </c>
      <c r="B2162" s="412">
        <f>VLOOKUP(B2142,'BANG LUONG 1'!$B$5:$AJ$56,24,0)</f>
        <v>0</v>
      </c>
      <c r="C2162" s="421">
        <v>22</v>
      </c>
      <c r="D2162" s="41"/>
    </row>
    <row r="2163" spans="1:5" x14ac:dyDescent="0.25">
      <c r="A2163" s="183" t="s">
        <v>237</v>
      </c>
      <c r="B2163" s="415">
        <f>VLOOKUP(B2142,'BANG LUONG 1'!$B$5:$AJ$56,26,0)</f>
        <v>6344959.134615384</v>
      </c>
      <c r="C2163" s="421">
        <v>24</v>
      </c>
      <c r="D2163" s="41"/>
    </row>
    <row r="2164" spans="1:5" x14ac:dyDescent="0.25">
      <c r="A2164" s="421" t="s">
        <v>545</v>
      </c>
      <c r="B2164" s="412">
        <f>VLOOKUP(B2142,'BANG LUONG 1'!$B$5:$AJ$56,27,0)</f>
        <v>3000000</v>
      </c>
      <c r="C2164" s="421">
        <v>25</v>
      </c>
      <c r="D2164" s="41"/>
    </row>
    <row r="2165" spans="1:5" x14ac:dyDescent="0.25">
      <c r="A2165" s="421" t="s">
        <v>544</v>
      </c>
      <c r="B2165" s="412">
        <f>VLOOKUP(B2142,'BANG LUONG 1'!$B$5:$AJ$56,28,0)</f>
        <v>480585</v>
      </c>
      <c r="C2165" s="421">
        <v>26</v>
      </c>
      <c r="D2165" s="41"/>
    </row>
    <row r="2166" spans="1:5" x14ac:dyDescent="0.25">
      <c r="A2166" s="421" t="s">
        <v>712</v>
      </c>
      <c r="B2166" s="415">
        <f>VLOOKUP(B2142,'BANG LUONG 1'!$B$5:$AJ$56,32,0)</f>
        <v>0</v>
      </c>
      <c r="C2166" s="421"/>
      <c r="D2166" s="41"/>
    </row>
    <row r="2167" spans="1:5" x14ac:dyDescent="0.25">
      <c r="A2167" s="421" t="s">
        <v>713</v>
      </c>
      <c r="B2167" s="415">
        <f>VLOOKUP(B2142,'BANG LUONG 1'!$B$5:$AJ$56,33,0)</f>
        <v>0</v>
      </c>
      <c r="C2167" s="421"/>
      <c r="D2167" s="41"/>
    </row>
    <row r="2168" spans="1:5" x14ac:dyDescent="0.25">
      <c r="A2168" s="183" t="s">
        <v>707</v>
      </c>
      <c r="B2168" s="415">
        <f>VLOOKUP(B2142,'BANG LUONG 1'!$B$5:$AJ$56,34,0)</f>
        <v>0</v>
      </c>
      <c r="C2168" s="421"/>
      <c r="D2168" s="41"/>
      <c r="E2168" s="108" t="str">
        <f>B2143</f>
        <v>Triệu Minh Tuấn</v>
      </c>
    </row>
    <row r="2169" spans="1:5" x14ac:dyDescent="0.25">
      <c r="A2169" s="183" t="s">
        <v>546</v>
      </c>
      <c r="B2169" s="415">
        <f>VLOOKUP(B2142,'BANG LUONG 1'!$B$5:$AJ$56,35,0)</f>
        <v>2964000</v>
      </c>
      <c r="C2169" s="421"/>
      <c r="D2169" s="41"/>
    </row>
    <row r="2170" spans="1:5" x14ac:dyDescent="0.25">
      <c r="A2170" s="184" t="s">
        <v>549</v>
      </c>
      <c r="B2170" s="424">
        <f>'BANG LUONG 1'!$P$3</f>
        <v>43733</v>
      </c>
    </row>
    <row r="2171" spans="1:5" x14ac:dyDescent="0.25">
      <c r="A2171" s="183" t="s">
        <v>1</v>
      </c>
      <c r="B2171" s="185" t="s">
        <v>161</v>
      </c>
      <c r="C2171" s="421">
        <v>1</v>
      </c>
      <c r="D2171" s="41"/>
    </row>
    <row r="2172" spans="1:5" x14ac:dyDescent="0.25">
      <c r="A2172" s="183" t="s">
        <v>2</v>
      </c>
      <c r="B2172" s="185" t="str">
        <f>VLOOKUP($B2171,'BANG LUONG 1'!$B$6:$AB$51,C2172,0)</f>
        <v>Kim Em</v>
      </c>
      <c r="C2172" s="421">
        <v>2</v>
      </c>
      <c r="D2172" s="41"/>
    </row>
    <row r="2173" spans="1:5" x14ac:dyDescent="0.25">
      <c r="A2173" s="421" t="s">
        <v>3</v>
      </c>
      <c r="B2173" s="41" t="str">
        <f>VLOOKUP($B2171,'BANG LUONG 1'!$B$6:$AJ$51,C2173,0)</f>
        <v xml:space="preserve">Công nhân </v>
      </c>
      <c r="C2173" s="421">
        <v>3</v>
      </c>
      <c r="D2173" s="41"/>
    </row>
    <row r="2174" spans="1:5" x14ac:dyDescent="0.25">
      <c r="A2174" s="421" t="s">
        <v>376</v>
      </c>
      <c r="B2174" s="410">
        <f>VLOOKUP($B2171,'BANG LUONG 1'!$B$5:$AJ$56,4,0)</f>
        <v>42413</v>
      </c>
      <c r="C2174" s="421">
        <v>4</v>
      </c>
      <c r="D2174" s="41"/>
    </row>
    <row r="2175" spans="1:5" x14ac:dyDescent="0.25">
      <c r="A2175" s="421" t="s">
        <v>698</v>
      </c>
      <c r="B2175" s="411">
        <f>VLOOKUP(B2171,'BANG LUONG 1'!$B$5:$AJ$56,6,0)</f>
        <v>0.03</v>
      </c>
      <c r="C2175" s="421">
        <v>5</v>
      </c>
      <c r="D2175" s="41"/>
    </row>
    <row r="2176" spans="1:5" x14ac:dyDescent="0.25">
      <c r="A2176" s="421" t="s">
        <v>229</v>
      </c>
      <c r="B2176" s="412">
        <f>'thang luong moi'!$F$5</f>
        <v>4012500</v>
      </c>
      <c r="C2176" s="421">
        <v>6</v>
      </c>
      <c r="D2176" s="41"/>
    </row>
    <row r="2177" spans="1:5" x14ac:dyDescent="0.25">
      <c r="A2177" s="421" t="s">
        <v>217</v>
      </c>
      <c r="B2177" s="412" t="str">
        <f>VLOOKUP(B2171,'BANG LUONG 1'!$B$5:$AJ$56,8,0)</f>
        <v>B.05</v>
      </c>
      <c r="C2177" s="421">
        <v>7</v>
      </c>
      <c r="D2177" s="41"/>
    </row>
    <row r="2178" spans="1:5" x14ac:dyDescent="0.25">
      <c r="A2178" s="421" t="s">
        <v>230</v>
      </c>
      <c r="B2178" s="412">
        <f>VLOOKUP(B2171,'BANG LUONG 1'!$B$5:$AJ$56,9,0)</f>
        <v>1</v>
      </c>
      <c r="C2178" s="421">
        <v>8</v>
      </c>
      <c r="D2178" s="41"/>
    </row>
    <row r="2179" spans="1:5" x14ac:dyDescent="0.25">
      <c r="A2179" s="421" t="s">
        <v>538</v>
      </c>
      <c r="B2179" s="412">
        <f>VLOOKUP(B2171,'BANG LUONG 1'!$B$5:$AJ$56,11,0)</f>
        <v>4213125</v>
      </c>
      <c r="C2179" s="421">
        <v>9</v>
      </c>
      <c r="D2179" s="41"/>
    </row>
    <row r="2180" spans="1:5" x14ac:dyDescent="0.25">
      <c r="A2180" s="421" t="s">
        <v>354</v>
      </c>
      <c r="B2180" s="412">
        <f>VLOOKUP(B2171,'BANG LUONG 1'!$B$5:$AJ$56,12,0)</f>
        <v>26</v>
      </c>
      <c r="C2180" s="421">
        <v>10</v>
      </c>
      <c r="D2180" s="41"/>
    </row>
    <row r="2181" spans="1:5" x14ac:dyDescent="0.25">
      <c r="A2181" s="421" t="s">
        <v>534</v>
      </c>
      <c r="B2181" s="412">
        <f>VLOOKUP(B2171,'BANG LUONG 1'!$B$5:$AJ$56,13,0)</f>
        <v>4213125</v>
      </c>
      <c r="C2181" s="421">
        <v>11</v>
      </c>
      <c r="D2181" s="41"/>
    </row>
    <row r="2182" spans="1:5" x14ac:dyDescent="0.25">
      <c r="A2182" s="421" t="s">
        <v>592</v>
      </c>
      <c r="B2182" s="412">
        <f>VLOOKUP(B2171,'BANG LUONG 1'!$B$5:$AJ$56,14,0)</f>
        <v>0</v>
      </c>
      <c r="C2182" s="421">
        <v>12</v>
      </c>
      <c r="D2182" s="41">
        <f>B2179/26*B2182</f>
        <v>0</v>
      </c>
    </row>
    <row r="2183" spans="1:5" x14ac:dyDescent="0.25">
      <c r="A2183" s="421" t="s">
        <v>357</v>
      </c>
      <c r="B2183" s="412">
        <f>VLOOKUP(B2171,'BANG LUONG 1'!$B$5:$AJ$56,15,0)</f>
        <v>0</v>
      </c>
      <c r="C2183" s="421">
        <v>13</v>
      </c>
      <c r="D2183" s="41">
        <f>B2179/26/8*1.5*B2183</f>
        <v>0</v>
      </c>
    </row>
    <row r="2184" spans="1:5" x14ac:dyDescent="0.25">
      <c r="A2184" s="421" t="s">
        <v>387</v>
      </c>
      <c r="B2184" s="412">
        <f>VLOOKUP(B2171,'BANG LUONG 1'!$B$5:$AJ$56,16,0)</f>
        <v>20</v>
      </c>
      <c r="C2184" s="421">
        <v>14</v>
      </c>
      <c r="D2184" s="41">
        <f>B2179/26/8*2*B2184</f>
        <v>810216.34615384613</v>
      </c>
    </row>
    <row r="2185" spans="1:5" x14ac:dyDescent="0.25">
      <c r="A2185" s="421" t="s">
        <v>593</v>
      </c>
      <c r="B2185" s="412">
        <f>VLOOKUP(B2171,'BANG LUONG 1'!$B$5:$AJ$56,17,0)</f>
        <v>0</v>
      </c>
      <c r="C2185" s="421"/>
      <c r="D2185" s="41">
        <f>(B2179/26)*B2185</f>
        <v>0</v>
      </c>
    </row>
    <row r="2186" spans="1:5" x14ac:dyDescent="0.25">
      <c r="A2186" s="421" t="s">
        <v>388</v>
      </c>
      <c r="B2186" s="412">
        <f>VLOOKUP(B2171,'BANG LUONG 1'!$B$5:$AJ$56,18,0)</f>
        <v>1</v>
      </c>
      <c r="C2186" s="421">
        <v>15</v>
      </c>
      <c r="D2186" s="41">
        <f>(B2179/26*B2186)*3</f>
        <v>486129.80769230763</v>
      </c>
    </row>
    <row r="2187" spans="1:5" x14ac:dyDescent="0.25">
      <c r="A2187" s="421" t="s">
        <v>533</v>
      </c>
      <c r="B2187" s="412">
        <f>VLOOKUP(B2171,'BANG LUONG 1'!$B$5:$AJ$56,19,0)</f>
        <v>5509471.153846154</v>
      </c>
      <c r="C2187" s="183">
        <v>16</v>
      </c>
      <c r="D2187" s="185">
        <f>B2181+D2183+D2184+D2182+D2186+D2185</f>
        <v>5509471.153846154</v>
      </c>
      <c r="E2187" s="108"/>
    </row>
    <row r="2188" spans="1:5" x14ac:dyDescent="0.25">
      <c r="A2188" s="421" t="s">
        <v>535</v>
      </c>
      <c r="B2188" s="412">
        <f>VLOOKUP(B2171,'BANG LUONG 1'!$B$5:$AJ$56,20,0)</f>
        <v>1119567.307692308</v>
      </c>
      <c r="C2188" s="421">
        <v>17</v>
      </c>
      <c r="D2188" s="41"/>
    </row>
    <row r="2189" spans="1:5" x14ac:dyDescent="0.25">
      <c r="A2189" s="421" t="s">
        <v>370</v>
      </c>
      <c r="B2189" s="412">
        <f>VLOOKUP(B2171,'BANG LUONG 1'!$B$5:$AJ$56,22,0)</f>
        <v>126393.75</v>
      </c>
      <c r="C2189" s="421">
        <v>18</v>
      </c>
      <c r="D2189" s="41"/>
    </row>
    <row r="2190" spans="1:5" x14ac:dyDescent="0.25">
      <c r="A2190" s="421" t="s">
        <v>371</v>
      </c>
      <c r="B2190" s="412">
        <f>VLOOKUP(B2171,'BANG LUONG 1'!$B$5:$AJ$56,23,0)</f>
        <v>300000</v>
      </c>
      <c r="C2190" s="421">
        <v>19</v>
      </c>
      <c r="D2190" s="41"/>
    </row>
    <row r="2191" spans="1:5" x14ac:dyDescent="0.25">
      <c r="A2191" s="421" t="s">
        <v>560</v>
      </c>
      <c r="B2191" s="412">
        <f>VLOOKUP(B2171,'BANG LUONG 1'!$B$5:$AJ$56,24,0)</f>
        <v>0</v>
      </c>
      <c r="C2191" s="421">
        <v>22</v>
      </c>
      <c r="D2191" s="41"/>
    </row>
    <row r="2192" spans="1:5" x14ac:dyDescent="0.25">
      <c r="A2192" s="183" t="s">
        <v>237</v>
      </c>
      <c r="B2192" s="415">
        <f>VLOOKUP(B2171,'BANG LUONG 1'!$B$5:$AJ$56,26,0)</f>
        <v>7055432.211538462</v>
      </c>
      <c r="C2192" s="421">
        <v>24</v>
      </c>
      <c r="D2192" s="41"/>
    </row>
    <row r="2193" spans="1:5" x14ac:dyDescent="0.25">
      <c r="A2193" s="421" t="s">
        <v>545</v>
      </c>
      <c r="B2193" s="412">
        <f>VLOOKUP(B2171,'BANG LUONG 1'!$B$5:$AJ$56,27,0)</f>
        <v>3000000</v>
      </c>
      <c r="C2193" s="421">
        <v>25</v>
      </c>
      <c r="D2193" s="41"/>
    </row>
    <row r="2194" spans="1:5" x14ac:dyDescent="0.25">
      <c r="A2194" s="421" t="s">
        <v>544</v>
      </c>
      <c r="B2194" s="412">
        <f>VLOOKUP(B2171,'BANG LUONG 1'!$B$5:$AJ$56,28,0)</f>
        <v>480585</v>
      </c>
      <c r="C2194" s="421">
        <v>26</v>
      </c>
      <c r="D2194" s="41"/>
    </row>
    <row r="2195" spans="1:5" x14ac:dyDescent="0.25">
      <c r="A2195" s="421" t="s">
        <v>712</v>
      </c>
      <c r="B2195" s="415">
        <f>VLOOKUP(B2171,'BANG LUONG 1'!$B$5:$AJ$56,32,0)</f>
        <v>0</v>
      </c>
      <c r="C2195" s="421"/>
      <c r="D2195" s="41"/>
    </row>
    <row r="2196" spans="1:5" x14ac:dyDescent="0.25">
      <c r="A2196" s="421" t="s">
        <v>713</v>
      </c>
      <c r="B2196" s="415">
        <f>VLOOKUP(B2171,'BANG LUONG 1'!$B$5:$AJ$56,33,0)</f>
        <v>0</v>
      </c>
      <c r="C2196" s="421"/>
      <c r="D2196" s="41"/>
    </row>
    <row r="2197" spans="1:5" x14ac:dyDescent="0.25">
      <c r="A2197" s="183" t="s">
        <v>707</v>
      </c>
      <c r="B2197" s="415">
        <f>VLOOKUP(B2171,'BANG LUONG 1'!$B$5:$AJ$56,34,0)</f>
        <v>0</v>
      </c>
      <c r="C2197" s="421"/>
      <c r="D2197" s="41"/>
      <c r="E2197" s="108" t="str">
        <f>B2172</f>
        <v>Kim Em</v>
      </c>
    </row>
    <row r="2198" spans="1:5" x14ac:dyDescent="0.25">
      <c r="A2198" s="183" t="s">
        <v>546</v>
      </c>
      <c r="B2198" s="415">
        <f>VLOOKUP(B2171,'BANG LUONG 1'!$B$5:$AJ$56,35,0)</f>
        <v>3675000</v>
      </c>
      <c r="C2198" s="421"/>
      <c r="D2198" s="41"/>
    </row>
    <row r="2199" spans="1:5" x14ac:dyDescent="0.25">
      <c r="A2199" s="184" t="s">
        <v>549</v>
      </c>
      <c r="B2199" s="424">
        <f>'BANG LUONG 1'!$P$3</f>
        <v>43733</v>
      </c>
    </row>
    <row r="2200" spans="1:5" x14ac:dyDescent="0.25">
      <c r="A2200" s="183" t="s">
        <v>1</v>
      </c>
      <c r="B2200" s="185" t="s">
        <v>155</v>
      </c>
      <c r="C2200" s="421">
        <v>1</v>
      </c>
      <c r="D2200" s="41"/>
    </row>
    <row r="2201" spans="1:5" x14ac:dyDescent="0.25">
      <c r="A2201" s="183" t="s">
        <v>2</v>
      </c>
      <c r="B2201" s="185" t="str">
        <f>VLOOKUP($B2200,'BANG LUONG 1'!$B$6:$AB$48,C2201,0)</f>
        <v>Nguyễn Văn Rắng</v>
      </c>
      <c r="C2201" s="421">
        <v>2</v>
      </c>
      <c r="D2201" s="41"/>
    </row>
    <row r="2202" spans="1:5" x14ac:dyDescent="0.25">
      <c r="A2202" s="421" t="s">
        <v>3</v>
      </c>
      <c r="B2202" s="41" t="str">
        <f>VLOOKUP($B2200,'BANG LUONG 1'!$B$6:$AJ$48,C2202,0)</f>
        <v xml:space="preserve">Công nhân </v>
      </c>
      <c r="C2202" s="421">
        <v>3</v>
      </c>
      <c r="D2202" s="41"/>
    </row>
    <row r="2203" spans="1:5" x14ac:dyDescent="0.25">
      <c r="A2203" s="421" t="s">
        <v>376</v>
      </c>
      <c r="B2203" s="410">
        <f>VLOOKUP($B2200,'BANG LUONG 1'!$B$5:$AJ$56,4,0)</f>
        <v>42422</v>
      </c>
      <c r="C2203" s="421">
        <v>4</v>
      </c>
      <c r="D2203" s="41"/>
    </row>
    <row r="2204" spans="1:5" x14ac:dyDescent="0.25">
      <c r="A2204" s="421" t="s">
        <v>698</v>
      </c>
      <c r="B2204" s="411">
        <f>VLOOKUP(B2200,'BANG LUONG 1'!$B$5:$AJ$56,6,0)</f>
        <v>0.03</v>
      </c>
      <c r="C2204" s="421">
        <v>5</v>
      </c>
      <c r="D2204" s="41"/>
    </row>
    <row r="2205" spans="1:5" x14ac:dyDescent="0.25">
      <c r="A2205" s="421" t="s">
        <v>229</v>
      </c>
      <c r="B2205" s="412">
        <f>'thang luong moi'!$F$5</f>
        <v>4012500</v>
      </c>
      <c r="C2205" s="421">
        <v>6</v>
      </c>
      <c r="D2205" s="41"/>
    </row>
    <row r="2206" spans="1:5" x14ac:dyDescent="0.25">
      <c r="A2206" s="421" t="s">
        <v>217</v>
      </c>
      <c r="B2206" s="412" t="str">
        <f>VLOOKUP(B2200,'BANG LUONG 1'!$B$5:$AJ$56,8,0)</f>
        <v>B.05</v>
      </c>
      <c r="C2206" s="421">
        <v>7</v>
      </c>
      <c r="D2206" s="41"/>
    </row>
    <row r="2207" spans="1:5" x14ac:dyDescent="0.25">
      <c r="A2207" s="421" t="s">
        <v>230</v>
      </c>
      <c r="B2207" s="412">
        <f>VLOOKUP(B2200,'BANG LUONG 1'!$B$5:$AJ$56,9,0)</f>
        <v>1</v>
      </c>
      <c r="C2207" s="421">
        <v>8</v>
      </c>
      <c r="D2207" s="41"/>
    </row>
    <row r="2208" spans="1:5" x14ac:dyDescent="0.25">
      <c r="A2208" s="421" t="s">
        <v>538</v>
      </c>
      <c r="B2208" s="412">
        <f>VLOOKUP(B2200,'BANG LUONG 1'!$B$5:$AJ$56,11,0)</f>
        <v>4213125</v>
      </c>
      <c r="C2208" s="421">
        <v>9</v>
      </c>
      <c r="D2208" s="41"/>
    </row>
    <row r="2209" spans="1:5" x14ac:dyDescent="0.25">
      <c r="A2209" s="421" t="s">
        <v>354</v>
      </c>
      <c r="B2209" s="412">
        <f>VLOOKUP(B2200,'BANG LUONG 1'!$B$5:$AJ$56,12,0)</f>
        <v>26</v>
      </c>
      <c r="C2209" s="421">
        <v>10</v>
      </c>
      <c r="D2209" s="41"/>
    </row>
    <row r="2210" spans="1:5" x14ac:dyDescent="0.25">
      <c r="A2210" s="421" t="s">
        <v>534</v>
      </c>
      <c r="B2210" s="412">
        <f>VLOOKUP(B2200,'BANG LUONG 1'!$B$5:$AJ$56,13,0)</f>
        <v>4213125</v>
      </c>
      <c r="C2210" s="421">
        <v>11</v>
      </c>
      <c r="D2210" s="41"/>
    </row>
    <row r="2211" spans="1:5" x14ac:dyDescent="0.25">
      <c r="A2211" s="421" t="s">
        <v>592</v>
      </c>
      <c r="B2211" s="412">
        <f>VLOOKUP(B2200,'BANG LUONG 1'!$B$5:$AJ$56,14,0)</f>
        <v>0</v>
      </c>
      <c r="C2211" s="421">
        <v>12</v>
      </c>
      <c r="D2211" s="41">
        <f>B2208/26*B2211</f>
        <v>0</v>
      </c>
    </row>
    <row r="2212" spans="1:5" x14ac:dyDescent="0.25">
      <c r="A2212" s="421" t="s">
        <v>357</v>
      </c>
      <c r="B2212" s="412">
        <f>VLOOKUP(B2200,'BANG LUONG 1'!$B$5:$AJ$56,15,0)</f>
        <v>21</v>
      </c>
      <c r="C2212" s="421">
        <v>13</v>
      </c>
      <c r="D2212" s="41">
        <f>B2208/26/8*1.5*B2212</f>
        <v>638045.37259615376</v>
      </c>
    </row>
    <row r="2213" spans="1:5" x14ac:dyDescent="0.25">
      <c r="A2213" s="421" t="s">
        <v>387</v>
      </c>
      <c r="B2213" s="412">
        <f>VLOOKUP(B2200,'BANG LUONG 1'!$B$5:$AJ$56,16,0)</f>
        <v>16</v>
      </c>
      <c r="C2213" s="421">
        <v>14</v>
      </c>
      <c r="D2213" s="41">
        <f>B2208/26/8*2*B2213</f>
        <v>648173.07692307688</v>
      </c>
    </row>
    <row r="2214" spans="1:5" x14ac:dyDescent="0.25">
      <c r="A2214" s="421" t="s">
        <v>593</v>
      </c>
      <c r="B2214" s="412">
        <f>VLOOKUP(B2200,'BANG LUONG 1'!$B$5:$AJ$56,17,0)</f>
        <v>1</v>
      </c>
      <c r="C2214" s="421"/>
      <c r="D2214" s="41">
        <f>(B2208/26)*B2214</f>
        <v>162043.26923076922</v>
      </c>
    </row>
    <row r="2215" spans="1:5" x14ac:dyDescent="0.25">
      <c r="A2215" s="421" t="s">
        <v>388</v>
      </c>
      <c r="B2215" s="412">
        <f>VLOOKUP(B2200,'BANG LUONG 1'!$B$5:$AJ$56,18,0)</f>
        <v>0</v>
      </c>
      <c r="C2215" s="421">
        <v>15</v>
      </c>
      <c r="D2215" s="41">
        <f>(B2208/26*B2215)*3</f>
        <v>0</v>
      </c>
    </row>
    <row r="2216" spans="1:5" x14ac:dyDescent="0.25">
      <c r="A2216" s="421" t="s">
        <v>533</v>
      </c>
      <c r="B2216" s="412">
        <f>VLOOKUP(B2200,'BANG LUONG 1'!$B$5:$AJ$56,19,0)</f>
        <v>5661386.71875</v>
      </c>
      <c r="C2216" s="183">
        <v>16</v>
      </c>
      <c r="D2216" s="185">
        <f>B2210+D2212+D2213+D2211+D2215+D2214</f>
        <v>5661386.71875</v>
      </c>
      <c r="E2216" s="108"/>
    </row>
    <row r="2217" spans="1:5" x14ac:dyDescent="0.25">
      <c r="A2217" s="421" t="s">
        <v>535</v>
      </c>
      <c r="B2217" s="412">
        <f>VLOOKUP(B2200,'BANG LUONG 1'!$B$5:$AJ$56,20,0)</f>
        <v>8352203.8461538479</v>
      </c>
      <c r="C2217" s="421">
        <v>17</v>
      </c>
      <c r="D2217" s="41"/>
    </row>
    <row r="2218" spans="1:5" x14ac:dyDescent="0.25">
      <c r="A2218" s="421" t="s">
        <v>370</v>
      </c>
      <c r="B2218" s="412">
        <f>VLOOKUP(B2200,'BANG LUONG 1'!$B$5:$AJ$56,22,0)</f>
        <v>126393.75</v>
      </c>
      <c r="C2218" s="421">
        <v>18</v>
      </c>
      <c r="D2218" s="41"/>
    </row>
    <row r="2219" spans="1:5" x14ac:dyDescent="0.25">
      <c r="A2219" s="421" t="s">
        <v>371</v>
      </c>
      <c r="B2219" s="412">
        <f>VLOOKUP(B2200,'BANG LUONG 1'!$B$5:$AJ$56,23,0)</f>
        <v>300000</v>
      </c>
      <c r="C2219" s="421">
        <v>19</v>
      </c>
      <c r="D2219" s="41"/>
    </row>
    <row r="2220" spans="1:5" x14ac:dyDescent="0.25">
      <c r="A2220" s="421" t="s">
        <v>560</v>
      </c>
      <c r="B2220" s="412">
        <f>VLOOKUP(B2200,'BANG LUONG 1'!$B$5:$AJ$56,24,0)</f>
        <v>0</v>
      </c>
      <c r="C2220" s="421">
        <v>22</v>
      </c>
      <c r="D2220" s="41"/>
    </row>
    <row r="2221" spans="1:5" x14ac:dyDescent="0.25">
      <c r="A2221" s="183" t="s">
        <v>237</v>
      </c>
      <c r="B2221" s="415">
        <f>VLOOKUP(B2200,'BANG LUONG 1'!$B$5:$AJ$56,26,0)</f>
        <v>14439984.314903848</v>
      </c>
      <c r="C2221" s="421">
        <v>24</v>
      </c>
      <c r="D2221" s="41"/>
    </row>
    <row r="2222" spans="1:5" x14ac:dyDescent="0.25">
      <c r="A2222" s="421" t="s">
        <v>545</v>
      </c>
      <c r="B2222" s="412">
        <f>VLOOKUP(B2200,'BANG LUONG 1'!$B$5:$AJ$56,27,0)</f>
        <v>3000000</v>
      </c>
      <c r="C2222" s="421">
        <v>25</v>
      </c>
      <c r="D2222" s="41"/>
    </row>
    <row r="2223" spans="1:5" x14ac:dyDescent="0.25">
      <c r="A2223" s="421" t="s">
        <v>544</v>
      </c>
      <c r="B2223" s="412">
        <f>VLOOKUP(B2200,'BANG LUONG 1'!$B$5:$AJ$56,28,0)</f>
        <v>480585</v>
      </c>
      <c r="C2223" s="421">
        <v>26</v>
      </c>
      <c r="D2223" s="41"/>
    </row>
    <row r="2224" spans="1:5" x14ac:dyDescent="0.25">
      <c r="A2224" s="421" t="s">
        <v>712</v>
      </c>
      <c r="B2224" s="415">
        <f>VLOOKUP(B2200,'BANG LUONG 1'!$B$5:$AJ$56,32,0)</f>
        <v>0</v>
      </c>
      <c r="C2224" s="421"/>
      <c r="D2224" s="41"/>
    </row>
    <row r="2225" spans="1:5" x14ac:dyDescent="0.25">
      <c r="A2225" s="421" t="s">
        <v>713</v>
      </c>
      <c r="B2225" s="415">
        <f>VLOOKUP(B2200,'BANG LUONG 1'!$B$5:$AJ$56,33,0)</f>
        <v>154000</v>
      </c>
      <c r="C2225" s="421"/>
      <c r="D2225" s="41"/>
    </row>
    <row r="2226" spans="1:5" x14ac:dyDescent="0.25">
      <c r="A2226" s="183" t="s">
        <v>707</v>
      </c>
      <c r="B2226" s="415">
        <f>VLOOKUP(B2200,'BANG LUONG 1'!$B$5:$AJ$56,34,0)</f>
        <v>0</v>
      </c>
      <c r="C2226" s="421"/>
      <c r="D2226" s="41"/>
      <c r="E2226" s="108" t="str">
        <f>B2201</f>
        <v>Nguyễn Văn Rắng</v>
      </c>
    </row>
    <row r="2227" spans="1:5" x14ac:dyDescent="0.25">
      <c r="A2227" s="183" t="s">
        <v>546</v>
      </c>
      <c r="B2227" s="415">
        <f>VLOOKUP(B2200,'BANG LUONG 1'!$B$5:$AJ$56,35,0)</f>
        <v>11213000</v>
      </c>
      <c r="C2227" s="421"/>
      <c r="D2227" s="41"/>
    </row>
    <row r="2228" spans="1:5" x14ac:dyDescent="0.25">
      <c r="A2228" s="183"/>
      <c r="B2228" s="412"/>
      <c r="C2228" s="421">
        <v>27</v>
      </c>
      <c r="D2228" s="185"/>
    </row>
    <row r="2229" spans="1:5" x14ac:dyDescent="0.25">
      <c r="A2229" s="184" t="s">
        <v>549</v>
      </c>
      <c r="B2229" s="424">
        <f>'BANG LUONG 1'!$P$3</f>
        <v>43733</v>
      </c>
    </row>
    <row r="2230" spans="1:5" x14ac:dyDescent="0.25">
      <c r="A2230" s="183" t="s">
        <v>1</v>
      </c>
      <c r="B2230" s="185" t="s">
        <v>156</v>
      </c>
      <c r="C2230" s="421">
        <v>1</v>
      </c>
      <c r="D2230" s="41"/>
    </row>
    <row r="2231" spans="1:5" x14ac:dyDescent="0.25">
      <c r="A2231" s="183" t="s">
        <v>2</v>
      </c>
      <c r="B2231" s="185" t="str">
        <f>VLOOKUP($B2230,'BANG LUONG 1'!$B$6:$AB$51,C2231,0)</f>
        <v>Lê Ngọc Đức</v>
      </c>
      <c r="C2231" s="421">
        <v>2</v>
      </c>
      <c r="D2231" s="41"/>
    </row>
    <row r="2232" spans="1:5" x14ac:dyDescent="0.25">
      <c r="A2232" s="421" t="s">
        <v>3</v>
      </c>
      <c r="B2232" s="41" t="str">
        <f>VLOOKUP($B2230,'BANG LUONG 1'!$B$6:$AJ$48,C2232,0)</f>
        <v xml:space="preserve">Công nhân </v>
      </c>
      <c r="C2232" s="421">
        <v>3</v>
      </c>
      <c r="D2232" s="41"/>
    </row>
    <row r="2233" spans="1:5" x14ac:dyDescent="0.25">
      <c r="A2233" s="421" t="s">
        <v>376</v>
      </c>
      <c r="B2233" s="410">
        <f>VLOOKUP($B2230,'BANG LUONG 1'!$B$5:$AJ$56,4,0)</f>
        <v>43453</v>
      </c>
      <c r="C2233" s="421">
        <v>4</v>
      </c>
      <c r="D2233" s="41"/>
    </row>
    <row r="2234" spans="1:5" x14ac:dyDescent="0.25">
      <c r="A2234" s="421" t="s">
        <v>698</v>
      </c>
      <c r="B2234" s="411">
        <f>VLOOKUP(B2230,'BANG LUONG 1'!$B$5:$AJ$56,6,0)</f>
        <v>0</v>
      </c>
      <c r="C2234" s="421">
        <v>5</v>
      </c>
      <c r="D2234" s="41"/>
    </row>
    <row r="2235" spans="1:5" x14ac:dyDescent="0.25">
      <c r="A2235" s="421" t="s">
        <v>229</v>
      </c>
      <c r="B2235" s="412">
        <f>'thang luong moi'!$F$5</f>
        <v>4012500</v>
      </c>
      <c r="C2235" s="421">
        <v>6</v>
      </c>
      <c r="D2235" s="41"/>
    </row>
    <row r="2236" spans="1:5" x14ac:dyDescent="0.25">
      <c r="A2236" s="421" t="s">
        <v>217</v>
      </c>
      <c r="B2236" s="412" t="str">
        <f>VLOOKUP(B2230,'BANG LUONG 1'!$B$5:$AJ$56,8,0)</f>
        <v>B.05</v>
      </c>
      <c r="C2236" s="421">
        <v>7</v>
      </c>
      <c r="D2236" s="41"/>
    </row>
    <row r="2237" spans="1:5" x14ac:dyDescent="0.25">
      <c r="A2237" s="421" t="s">
        <v>230</v>
      </c>
      <c r="B2237" s="412">
        <f>VLOOKUP(B2230,'BANG LUONG 1'!$B$5:$AJ$56,9,0)</f>
        <v>1</v>
      </c>
      <c r="C2237" s="421">
        <v>8</v>
      </c>
      <c r="D2237" s="41"/>
    </row>
    <row r="2238" spans="1:5" x14ac:dyDescent="0.25">
      <c r="A2238" s="421" t="s">
        <v>538</v>
      </c>
      <c r="B2238" s="412">
        <f>VLOOKUP(B2230,'BANG LUONG 1'!$B$5:$AJ$56,11,0)</f>
        <v>4213125</v>
      </c>
      <c r="C2238" s="421">
        <v>9</v>
      </c>
      <c r="D2238" s="41"/>
    </row>
    <row r="2239" spans="1:5" x14ac:dyDescent="0.25">
      <c r="A2239" s="421" t="s">
        <v>354</v>
      </c>
      <c r="B2239" s="412">
        <f>VLOOKUP(B2230,'BANG LUONG 1'!$B$5:$AJ$56,12,0)</f>
        <v>25</v>
      </c>
      <c r="C2239" s="421">
        <v>10</v>
      </c>
      <c r="D2239" s="41"/>
    </row>
    <row r="2240" spans="1:5" x14ac:dyDescent="0.25">
      <c r="A2240" s="421" t="s">
        <v>534</v>
      </c>
      <c r="B2240" s="412">
        <f>VLOOKUP(B2230,'BANG LUONG 1'!$B$5:$AJ$56,13,0)</f>
        <v>4051081.7307692305</v>
      </c>
      <c r="C2240" s="421">
        <v>11</v>
      </c>
      <c r="D2240" s="41"/>
    </row>
    <row r="2241" spans="1:5" x14ac:dyDescent="0.25">
      <c r="A2241" s="421" t="s">
        <v>592</v>
      </c>
      <c r="B2241" s="412">
        <f>VLOOKUP(B2230,'BANG LUONG 1'!$B$5:$AJ$56,14,0)</f>
        <v>0</v>
      </c>
      <c r="C2241" s="421">
        <v>12</v>
      </c>
      <c r="D2241" s="41">
        <f>B2238/26*B2241</f>
        <v>0</v>
      </c>
    </row>
    <row r="2242" spans="1:5" x14ac:dyDescent="0.25">
      <c r="A2242" s="421" t="s">
        <v>357</v>
      </c>
      <c r="B2242" s="412">
        <f>VLOOKUP(B2230,'BANG LUONG 1'!$B$5:$AJ$56,15,0)</f>
        <v>0</v>
      </c>
      <c r="C2242" s="421">
        <v>13</v>
      </c>
      <c r="D2242" s="41">
        <f>B2238/26/8*1.5*B2242</f>
        <v>0</v>
      </c>
    </row>
    <row r="2243" spans="1:5" x14ac:dyDescent="0.25">
      <c r="A2243" s="421" t="s">
        <v>387</v>
      </c>
      <c r="B2243" s="412">
        <f>VLOOKUP(B2230,'BANG LUONG 1'!$B$5:$AJ$56,16,0)</f>
        <v>24</v>
      </c>
      <c r="C2243" s="421">
        <v>14</v>
      </c>
      <c r="D2243" s="41">
        <f>B2238/26/8*2*B2243</f>
        <v>972259.61538461526</v>
      </c>
    </row>
    <row r="2244" spans="1:5" x14ac:dyDescent="0.25">
      <c r="A2244" s="421" t="s">
        <v>593</v>
      </c>
      <c r="B2244" s="412">
        <f>VLOOKUP(B2230,'BANG LUONG 1'!$B$5:$AJ$56,17,0)</f>
        <v>1</v>
      </c>
      <c r="C2244" s="421"/>
      <c r="D2244" s="41">
        <f>(B2238/26)*B2244</f>
        <v>162043.26923076922</v>
      </c>
    </row>
    <row r="2245" spans="1:5" x14ac:dyDescent="0.25">
      <c r="A2245" s="421" t="s">
        <v>388</v>
      </c>
      <c r="B2245" s="412">
        <f>VLOOKUP(B2230,'BANG LUONG 1'!$B$5:$AJ$56,18,0)</f>
        <v>0</v>
      </c>
      <c r="C2245" s="421">
        <v>15</v>
      </c>
      <c r="D2245" s="41">
        <f>(B2238/26*B2245)*3</f>
        <v>0</v>
      </c>
    </row>
    <row r="2246" spans="1:5" x14ac:dyDescent="0.25">
      <c r="A2246" s="421" t="s">
        <v>533</v>
      </c>
      <c r="B2246" s="412">
        <f>VLOOKUP(B2230,'BANG LUONG 1'!$B$5:$AJ$56,19,0)</f>
        <v>5185384.615384615</v>
      </c>
      <c r="C2246" s="183">
        <v>16</v>
      </c>
      <c r="D2246" s="185">
        <f>B2240+D2242+D2243+D2241+D2245+D2244</f>
        <v>5185384.615384615</v>
      </c>
      <c r="E2246" s="108"/>
    </row>
    <row r="2247" spans="1:5" x14ac:dyDescent="0.25">
      <c r="A2247" s="421" t="s">
        <v>535</v>
      </c>
      <c r="B2247" s="412">
        <f>VLOOKUP(B2230,'BANG LUONG 1'!$B$5:$AJ$56,20,0)</f>
        <v>795072.11538461456</v>
      </c>
      <c r="C2247" s="421">
        <v>17</v>
      </c>
      <c r="D2247" s="41"/>
    </row>
    <row r="2248" spans="1:5" x14ac:dyDescent="0.25">
      <c r="A2248" s="421" t="s">
        <v>370</v>
      </c>
      <c r="B2248" s="412">
        <f>VLOOKUP(B2230,'BANG LUONG 1'!$B$5:$AJ$56,22,0)</f>
        <v>0</v>
      </c>
      <c r="C2248" s="421">
        <v>18</v>
      </c>
      <c r="D2248" s="41"/>
    </row>
    <row r="2249" spans="1:5" x14ac:dyDescent="0.25">
      <c r="A2249" s="421" t="s">
        <v>371</v>
      </c>
      <c r="B2249" s="412">
        <f>VLOOKUP(B2230,'BANG LUONG 1'!$B$5:$AJ$56,23,0)</f>
        <v>300000</v>
      </c>
      <c r="C2249" s="421">
        <v>19</v>
      </c>
      <c r="D2249" s="41"/>
    </row>
    <row r="2250" spans="1:5" x14ac:dyDescent="0.25">
      <c r="A2250" s="421" t="s">
        <v>560</v>
      </c>
      <c r="B2250" s="412">
        <f>VLOOKUP(B2230,'BANG LUONG 1'!$B$5:$AJ$56,24,0)</f>
        <v>0</v>
      </c>
      <c r="C2250" s="421">
        <v>22</v>
      </c>
      <c r="D2250" s="41"/>
    </row>
    <row r="2251" spans="1:5" x14ac:dyDescent="0.25">
      <c r="A2251" s="183" t="s">
        <v>237</v>
      </c>
      <c r="B2251" s="415">
        <f>VLOOKUP(B2230,'BANG LUONG 1'!$B$5:$AJ$56,26,0)</f>
        <v>6280456.7307692301</v>
      </c>
      <c r="C2251" s="421">
        <v>24</v>
      </c>
      <c r="D2251" s="41"/>
    </row>
    <row r="2252" spans="1:5" x14ac:dyDescent="0.25">
      <c r="A2252" s="421" t="s">
        <v>545</v>
      </c>
      <c r="B2252" s="412">
        <f>VLOOKUP(B2230,'BANG LUONG 1'!$B$5:$AJ$56,27,0)</f>
        <v>4000000</v>
      </c>
      <c r="C2252" s="421">
        <v>25</v>
      </c>
      <c r="D2252" s="41"/>
    </row>
    <row r="2253" spans="1:5" x14ac:dyDescent="0.25">
      <c r="A2253" s="421" t="s">
        <v>544</v>
      </c>
      <c r="B2253" s="412">
        <f>VLOOKUP(B2230,'BANG LUONG 1'!$B$5:$AJ$56,28,0)</f>
        <v>0</v>
      </c>
      <c r="C2253" s="421">
        <v>26</v>
      </c>
      <c r="D2253" s="41"/>
    </row>
    <row r="2254" spans="1:5" x14ac:dyDescent="0.25">
      <c r="A2254" s="421" t="s">
        <v>712</v>
      </c>
      <c r="B2254" s="415">
        <f>VLOOKUP(B2230,'BANG LUONG 1'!$B$5:$AJ$56,32,0)</f>
        <v>0</v>
      </c>
      <c r="C2254" s="421"/>
      <c r="D2254" s="41"/>
    </row>
    <row r="2255" spans="1:5" x14ac:dyDescent="0.25">
      <c r="A2255" s="421" t="s">
        <v>713</v>
      </c>
      <c r="B2255" s="415">
        <f>VLOOKUP(B2230,'BANG LUONG 1'!$B$5:$AJ$56,33,0)</f>
        <v>0</v>
      </c>
      <c r="C2255" s="421"/>
      <c r="D2255" s="41"/>
    </row>
    <row r="2256" spans="1:5" x14ac:dyDescent="0.25">
      <c r="A2256" s="183" t="s">
        <v>707</v>
      </c>
      <c r="B2256" s="415">
        <f>VLOOKUP(B2230,'BANG LUONG 1'!$B$5:$AJ$56,34,0)</f>
        <v>0</v>
      </c>
      <c r="C2256" s="421"/>
      <c r="D2256" s="41"/>
      <c r="E2256" s="108" t="str">
        <f>B2231</f>
        <v>Lê Ngọc Đức</v>
      </c>
    </row>
    <row r="2257" spans="1:4" x14ac:dyDescent="0.25">
      <c r="A2257" s="183" t="s">
        <v>546</v>
      </c>
      <c r="B2257" s="415">
        <f>VLOOKUP(B2230,'BANG LUONG 1'!$B$5:$AJ$56,35,0)</f>
        <v>2380000</v>
      </c>
      <c r="C2257" s="421"/>
      <c r="D2257" s="41"/>
    </row>
    <row r="2258" spans="1:4" x14ac:dyDescent="0.25">
      <c r="A2258" s="183"/>
      <c r="B2258" s="412"/>
      <c r="C2258" s="421">
        <v>27</v>
      </c>
      <c r="D2258" s="185"/>
    </row>
    <row r="2259" spans="1:4" x14ac:dyDescent="0.25">
      <c r="A2259" s="184" t="s">
        <v>549</v>
      </c>
      <c r="B2259" s="424">
        <f>'BANG LUONG 1'!$P$3</f>
        <v>43733</v>
      </c>
    </row>
    <row r="2260" spans="1:4" x14ac:dyDescent="0.25">
      <c r="A2260" s="183" t="s">
        <v>1</v>
      </c>
      <c r="B2260" s="185" t="s">
        <v>156</v>
      </c>
      <c r="C2260" s="421">
        <v>1</v>
      </c>
      <c r="D2260" s="41"/>
    </row>
    <row r="2261" spans="1:4" x14ac:dyDescent="0.25">
      <c r="A2261" s="183" t="s">
        <v>2</v>
      </c>
      <c r="B2261" s="185" t="str">
        <f>VLOOKUP($B2260,'BANG LUONG 1'!$B$6:$AB$51,C2261,0)</f>
        <v>Lê Ngọc Đức</v>
      </c>
      <c r="C2261" s="421">
        <v>2</v>
      </c>
      <c r="D2261" s="41"/>
    </row>
    <row r="2262" spans="1:4" x14ac:dyDescent="0.25">
      <c r="A2262" s="421" t="s">
        <v>3</v>
      </c>
      <c r="B2262" s="41" t="str">
        <f>VLOOKUP($B2260,'BANG LUONG 1'!$B$6:$AJ$48,C2262,0)</f>
        <v xml:space="preserve">Công nhân </v>
      </c>
      <c r="C2262" s="421">
        <v>3</v>
      </c>
      <c r="D2262" s="41"/>
    </row>
    <row r="2263" spans="1:4" x14ac:dyDescent="0.25">
      <c r="A2263" s="421" t="s">
        <v>376</v>
      </c>
      <c r="B2263" s="410">
        <f>VLOOKUP($B2260,'BANG LUONG 1'!$B$5:$AJ$56,4,0)</f>
        <v>43453</v>
      </c>
      <c r="C2263" s="421">
        <v>4</v>
      </c>
      <c r="D2263" s="41"/>
    </row>
    <row r="2264" spans="1:4" x14ac:dyDescent="0.25">
      <c r="A2264" s="421" t="s">
        <v>698</v>
      </c>
      <c r="B2264" s="411">
        <f>VLOOKUP(B2260,'BANG LUONG 1'!$B$5:$AJ$56,6,0)</f>
        <v>0</v>
      </c>
      <c r="C2264" s="421">
        <v>5</v>
      </c>
      <c r="D2264" s="41"/>
    </row>
    <row r="2265" spans="1:4" x14ac:dyDescent="0.25">
      <c r="A2265" s="421" t="s">
        <v>229</v>
      </c>
      <c r="B2265" s="412">
        <f>'thang luong moi'!$F$5</f>
        <v>4012500</v>
      </c>
      <c r="C2265" s="421">
        <v>6</v>
      </c>
      <c r="D2265" s="41"/>
    </row>
    <row r="2266" spans="1:4" x14ac:dyDescent="0.25">
      <c r="A2266" s="421" t="s">
        <v>217</v>
      </c>
      <c r="B2266" s="412" t="str">
        <f>VLOOKUP(B2260,'BANG LUONG 1'!$B$5:$AJ$56,8,0)</f>
        <v>B.05</v>
      </c>
      <c r="C2266" s="421">
        <v>7</v>
      </c>
      <c r="D2266" s="41"/>
    </row>
    <row r="2267" spans="1:4" x14ac:dyDescent="0.25">
      <c r="A2267" s="421" t="s">
        <v>230</v>
      </c>
      <c r="B2267" s="412">
        <f>VLOOKUP(B2260,'BANG LUONG 1'!$B$5:$AJ$56,9,0)</f>
        <v>1</v>
      </c>
      <c r="C2267" s="421">
        <v>8</v>
      </c>
      <c r="D2267" s="41"/>
    </row>
    <row r="2268" spans="1:4" x14ac:dyDescent="0.25">
      <c r="A2268" s="421" t="s">
        <v>538</v>
      </c>
      <c r="B2268" s="412">
        <f>VLOOKUP(B2260,'BANG LUONG 1'!$B$5:$AJ$56,11,0)</f>
        <v>4213125</v>
      </c>
      <c r="C2268" s="421">
        <v>9</v>
      </c>
      <c r="D2268" s="41"/>
    </row>
    <row r="2269" spans="1:4" x14ac:dyDescent="0.25">
      <c r="A2269" s="421" t="s">
        <v>354</v>
      </c>
      <c r="B2269" s="412">
        <f>VLOOKUP(B2260,'BANG LUONG 1'!$B$5:$AJ$56,12,0)</f>
        <v>25</v>
      </c>
      <c r="C2269" s="421">
        <v>10</v>
      </c>
      <c r="D2269" s="41"/>
    </row>
    <row r="2270" spans="1:4" x14ac:dyDescent="0.25">
      <c r="A2270" s="421" t="s">
        <v>534</v>
      </c>
      <c r="B2270" s="412">
        <f>VLOOKUP(B2260,'BANG LUONG 1'!$B$5:$AJ$56,13,0)</f>
        <v>4051081.7307692305</v>
      </c>
      <c r="C2270" s="421">
        <v>11</v>
      </c>
      <c r="D2270" s="41"/>
    </row>
    <row r="2271" spans="1:4" x14ac:dyDescent="0.25">
      <c r="A2271" s="421" t="s">
        <v>592</v>
      </c>
      <c r="B2271" s="412">
        <f>VLOOKUP(B2260,'BANG LUONG 1'!$B$5:$AJ$56,14,0)</f>
        <v>0</v>
      </c>
      <c r="C2271" s="421">
        <v>12</v>
      </c>
      <c r="D2271" s="41">
        <f>B2268/26*B2271</f>
        <v>0</v>
      </c>
    </row>
    <row r="2272" spans="1:4" x14ac:dyDescent="0.25">
      <c r="A2272" s="421" t="s">
        <v>357</v>
      </c>
      <c r="B2272" s="412">
        <f>VLOOKUP(B2260,'BANG LUONG 1'!$B$5:$AJ$56,15,0)</f>
        <v>0</v>
      </c>
      <c r="C2272" s="421">
        <v>13</v>
      </c>
      <c r="D2272" s="41">
        <f>B2268/26/8*1.5*B2272</f>
        <v>0</v>
      </c>
    </row>
    <row r="2273" spans="1:5" x14ac:dyDescent="0.25">
      <c r="A2273" s="421" t="s">
        <v>387</v>
      </c>
      <c r="B2273" s="412">
        <f>VLOOKUP(B2260,'BANG LUONG 1'!$B$5:$AJ$56,16,0)</f>
        <v>24</v>
      </c>
      <c r="C2273" s="421">
        <v>14</v>
      </c>
      <c r="D2273" s="41">
        <f>B2268/26/8*2*B2273</f>
        <v>972259.61538461526</v>
      </c>
    </row>
    <row r="2274" spans="1:5" x14ac:dyDescent="0.25">
      <c r="A2274" s="421" t="s">
        <v>593</v>
      </c>
      <c r="B2274" s="412">
        <f>VLOOKUP(B2260,'BANG LUONG 1'!$B$5:$AJ$56,17,0)</f>
        <v>1</v>
      </c>
      <c r="C2274" s="421"/>
      <c r="D2274" s="41">
        <f>(B2268/26)*B2274</f>
        <v>162043.26923076922</v>
      </c>
    </row>
    <row r="2275" spans="1:5" x14ac:dyDescent="0.25">
      <c r="A2275" s="421" t="s">
        <v>388</v>
      </c>
      <c r="B2275" s="412">
        <f>VLOOKUP(B2260,'BANG LUONG 1'!$B$5:$AJ$56,18,0)</f>
        <v>0</v>
      </c>
      <c r="C2275" s="421">
        <v>15</v>
      </c>
      <c r="D2275" s="41">
        <f>(B2268/26*B2275)*3</f>
        <v>0</v>
      </c>
    </row>
    <row r="2276" spans="1:5" x14ac:dyDescent="0.25">
      <c r="A2276" s="421" t="s">
        <v>533</v>
      </c>
      <c r="B2276" s="412">
        <f>VLOOKUP(B2260,'BANG LUONG 1'!$B$5:$AJ$56,19,0)</f>
        <v>5185384.615384615</v>
      </c>
      <c r="C2276" s="183">
        <v>16</v>
      </c>
      <c r="D2276" s="185">
        <f>B2270+D2272+D2273+D2271+D2275+D2274</f>
        <v>5185384.615384615</v>
      </c>
      <c r="E2276" s="108"/>
    </row>
    <row r="2277" spans="1:5" x14ac:dyDescent="0.25">
      <c r="A2277" s="421" t="s">
        <v>535</v>
      </c>
      <c r="B2277" s="412">
        <f>VLOOKUP(B2260,'BANG LUONG 1'!$B$5:$AJ$56,20,0)</f>
        <v>795072.11538461456</v>
      </c>
      <c r="C2277" s="421">
        <v>17</v>
      </c>
      <c r="D2277" s="41"/>
    </row>
    <row r="2278" spans="1:5" x14ac:dyDescent="0.25">
      <c r="A2278" s="421" t="s">
        <v>370</v>
      </c>
      <c r="B2278" s="412">
        <f>VLOOKUP(B2260,'BANG LUONG 1'!$B$5:$AJ$56,22,0)</f>
        <v>0</v>
      </c>
      <c r="C2278" s="421">
        <v>18</v>
      </c>
      <c r="D2278" s="41"/>
    </row>
    <row r="2279" spans="1:5" x14ac:dyDescent="0.25">
      <c r="A2279" s="421" t="s">
        <v>371</v>
      </c>
      <c r="B2279" s="412">
        <f>VLOOKUP(B2260,'BANG LUONG 1'!$B$5:$AJ$56,23,0)</f>
        <v>300000</v>
      </c>
      <c r="C2279" s="421">
        <v>19</v>
      </c>
      <c r="D2279" s="41"/>
    </row>
    <row r="2280" spans="1:5" x14ac:dyDescent="0.25">
      <c r="A2280" s="421" t="s">
        <v>560</v>
      </c>
      <c r="B2280" s="412">
        <f>VLOOKUP(B2260,'BANG LUONG 1'!$B$5:$AJ$56,24,0)</f>
        <v>0</v>
      </c>
      <c r="C2280" s="421">
        <v>22</v>
      </c>
      <c r="D2280" s="41"/>
    </row>
    <row r="2281" spans="1:5" x14ac:dyDescent="0.25">
      <c r="A2281" s="183" t="s">
        <v>237</v>
      </c>
      <c r="B2281" s="415">
        <f>VLOOKUP(B2260,'BANG LUONG 1'!$B$5:$AJ$56,26,0)</f>
        <v>6280456.7307692301</v>
      </c>
      <c r="C2281" s="421">
        <v>24</v>
      </c>
      <c r="D2281" s="41"/>
    </row>
    <row r="2282" spans="1:5" x14ac:dyDescent="0.25">
      <c r="A2282" s="421" t="s">
        <v>545</v>
      </c>
      <c r="B2282" s="412">
        <f>VLOOKUP(B2260,'BANG LUONG 1'!$B$5:$AJ$56,27,0)</f>
        <v>4000000</v>
      </c>
      <c r="C2282" s="421">
        <v>25</v>
      </c>
      <c r="D2282" s="41"/>
    </row>
    <row r="2283" spans="1:5" x14ac:dyDescent="0.25">
      <c r="A2283" s="421" t="s">
        <v>544</v>
      </c>
      <c r="B2283" s="412">
        <f>VLOOKUP(B2260,'BANG LUONG 1'!$B$5:$AJ$56,28,0)</f>
        <v>0</v>
      </c>
      <c r="C2283" s="421">
        <v>26</v>
      </c>
      <c r="D2283" s="41"/>
    </row>
    <row r="2284" spans="1:5" x14ac:dyDescent="0.25">
      <c r="A2284" s="421" t="s">
        <v>712</v>
      </c>
      <c r="B2284" s="415">
        <f>VLOOKUP(B2260,'BANG LUONG 1'!$B$5:$AJ$56,32,0)</f>
        <v>0</v>
      </c>
      <c r="C2284" s="421"/>
      <c r="D2284" s="41"/>
    </row>
    <row r="2285" spans="1:5" x14ac:dyDescent="0.25">
      <c r="A2285" s="421" t="s">
        <v>713</v>
      </c>
      <c r="B2285" s="415">
        <f>VLOOKUP(B2260,'BANG LUONG 1'!$B$5:$AJ$56,33,0)</f>
        <v>0</v>
      </c>
      <c r="C2285" s="421"/>
      <c r="D2285" s="41"/>
    </row>
    <row r="2286" spans="1:5" x14ac:dyDescent="0.25">
      <c r="A2286" s="183" t="s">
        <v>707</v>
      </c>
      <c r="B2286" s="415">
        <f>VLOOKUP(B2260,'BANG LUONG 1'!$B$5:$AJ$56,34,0)</f>
        <v>0</v>
      </c>
      <c r="C2286" s="421"/>
      <c r="D2286" s="41"/>
      <c r="E2286" s="108" t="str">
        <f>B2261</f>
        <v>Lê Ngọc Đức</v>
      </c>
    </row>
    <row r="2287" spans="1:5" x14ac:dyDescent="0.25">
      <c r="A2287" s="183" t="s">
        <v>546</v>
      </c>
      <c r="B2287" s="415">
        <f>VLOOKUP(B2260,'BANG LUONG 1'!$B$5:$AJ$56,35,0)</f>
        <v>2380000</v>
      </c>
      <c r="C2287" s="421"/>
      <c r="D2287" s="41"/>
    </row>
    <row r="2288" spans="1:5" x14ac:dyDescent="0.25">
      <c r="A2288" s="184" t="s">
        <v>549</v>
      </c>
      <c r="B2288" s="424">
        <f>'BANG LUONG 1'!$P$3</f>
        <v>43733</v>
      </c>
    </row>
    <row r="2289" spans="1:4" x14ac:dyDescent="0.25">
      <c r="A2289" s="183" t="s">
        <v>1</v>
      </c>
      <c r="B2289" s="185" t="s">
        <v>157</v>
      </c>
      <c r="C2289" s="421">
        <v>1</v>
      </c>
      <c r="D2289" s="41"/>
    </row>
    <row r="2290" spans="1:4" x14ac:dyDescent="0.25">
      <c r="A2290" s="183" t="s">
        <v>2</v>
      </c>
      <c r="B2290" s="185" t="e">
        <f>VLOOKUP($B2289,'BANG LUONG 1'!$B$6:$AB$51,C2290,0)</f>
        <v>#N/A</v>
      </c>
      <c r="C2290" s="421">
        <v>2</v>
      </c>
      <c r="D2290" s="41"/>
    </row>
    <row r="2291" spans="1:4" x14ac:dyDescent="0.25">
      <c r="A2291" s="421" t="s">
        <v>3</v>
      </c>
      <c r="B2291" s="41" t="e">
        <f>VLOOKUP($B2289,'BANG LUONG 1'!$B$6:$AJ$48,C2291,0)</f>
        <v>#N/A</v>
      </c>
      <c r="C2291" s="421">
        <v>3</v>
      </c>
      <c r="D2291" s="41"/>
    </row>
    <row r="2292" spans="1:4" x14ac:dyDescent="0.25">
      <c r="A2292" s="421" t="s">
        <v>376</v>
      </c>
      <c r="B2292" s="410" t="e">
        <f>VLOOKUP($B2289,'BANG LUONG 1'!$B$5:$AJ$56,4,0)</f>
        <v>#N/A</v>
      </c>
      <c r="C2292" s="421">
        <v>4</v>
      </c>
      <c r="D2292" s="41"/>
    </row>
    <row r="2293" spans="1:4" x14ac:dyDescent="0.25">
      <c r="A2293" s="421" t="s">
        <v>698</v>
      </c>
      <c r="B2293" s="411" t="e">
        <f>VLOOKUP(B2289,'BANG LUONG 1'!$B$5:$AJ$56,6,0)</f>
        <v>#N/A</v>
      </c>
      <c r="C2293" s="421">
        <v>5</v>
      </c>
      <c r="D2293" s="41"/>
    </row>
    <row r="2294" spans="1:4" x14ac:dyDescent="0.25">
      <c r="A2294" s="421" t="s">
        <v>229</v>
      </c>
      <c r="B2294" s="412">
        <f>'thang luong moi'!$F$5</f>
        <v>4012500</v>
      </c>
      <c r="C2294" s="421">
        <v>6</v>
      </c>
      <c r="D2294" s="41"/>
    </row>
    <row r="2295" spans="1:4" x14ac:dyDescent="0.25">
      <c r="A2295" s="421" t="s">
        <v>217</v>
      </c>
      <c r="B2295" s="412" t="e">
        <f>VLOOKUP(B2289,'BANG LUONG 1'!$B$5:$AJ$56,8,0)</f>
        <v>#N/A</v>
      </c>
      <c r="C2295" s="421">
        <v>7</v>
      </c>
      <c r="D2295" s="41"/>
    </row>
    <row r="2296" spans="1:4" x14ac:dyDescent="0.25">
      <c r="A2296" s="421" t="s">
        <v>230</v>
      </c>
      <c r="B2296" s="412" t="e">
        <f>VLOOKUP(B2289,'BANG LUONG 1'!$B$5:$AJ$56,9,0)</f>
        <v>#N/A</v>
      </c>
      <c r="C2296" s="421">
        <v>8</v>
      </c>
      <c r="D2296" s="41"/>
    </row>
    <row r="2297" spans="1:4" x14ac:dyDescent="0.25">
      <c r="A2297" s="421" t="s">
        <v>538</v>
      </c>
      <c r="B2297" s="412" t="e">
        <f>VLOOKUP(B2289,'BANG LUONG 1'!$B$5:$AJ$56,11,0)</f>
        <v>#N/A</v>
      </c>
      <c r="C2297" s="421">
        <v>9</v>
      </c>
      <c r="D2297" s="41"/>
    </row>
    <row r="2298" spans="1:4" x14ac:dyDescent="0.25">
      <c r="A2298" s="421" t="s">
        <v>354</v>
      </c>
      <c r="B2298" s="412" t="e">
        <f>VLOOKUP(B2289,'BANG LUONG 1'!$B$5:$AJ$56,12,0)</f>
        <v>#N/A</v>
      </c>
      <c r="C2298" s="421">
        <v>10</v>
      </c>
      <c r="D2298" s="41"/>
    </row>
    <row r="2299" spans="1:4" x14ac:dyDescent="0.25">
      <c r="A2299" s="421" t="s">
        <v>534</v>
      </c>
      <c r="B2299" s="412" t="e">
        <f>VLOOKUP(B2289,'BANG LUONG 1'!$B$5:$AJ$56,13,0)</f>
        <v>#N/A</v>
      </c>
      <c r="C2299" s="421">
        <v>11</v>
      </c>
      <c r="D2299" s="41"/>
    </row>
    <row r="2300" spans="1:4" x14ac:dyDescent="0.25">
      <c r="A2300" s="421" t="s">
        <v>592</v>
      </c>
      <c r="B2300" s="412" t="e">
        <f>VLOOKUP(B2289,'BANG LUONG 1'!$B$5:$AJ$56,14,0)</f>
        <v>#N/A</v>
      </c>
      <c r="C2300" s="421">
        <v>12</v>
      </c>
      <c r="D2300" s="41" t="e">
        <f>B2297/26*B2300</f>
        <v>#N/A</v>
      </c>
    </row>
    <row r="2301" spans="1:4" x14ac:dyDescent="0.25">
      <c r="A2301" s="421" t="s">
        <v>357</v>
      </c>
      <c r="B2301" s="412" t="e">
        <f>VLOOKUP(B2289,'BANG LUONG 1'!$B$5:$AJ$56,15,0)</f>
        <v>#N/A</v>
      </c>
      <c r="C2301" s="421">
        <v>13</v>
      </c>
      <c r="D2301" s="41" t="e">
        <f>B2297/26/8*1.5*B2301</f>
        <v>#N/A</v>
      </c>
    </row>
    <row r="2302" spans="1:4" x14ac:dyDescent="0.25">
      <c r="A2302" s="421" t="s">
        <v>387</v>
      </c>
      <c r="B2302" s="412" t="e">
        <f>VLOOKUP(B2289,'BANG LUONG 1'!$B$5:$AJ$56,16,0)</f>
        <v>#N/A</v>
      </c>
      <c r="C2302" s="421">
        <v>14</v>
      </c>
      <c r="D2302" s="41" t="e">
        <f>B2297/26/8*2*B2302</f>
        <v>#N/A</v>
      </c>
    </row>
    <row r="2303" spans="1:4" x14ac:dyDescent="0.25">
      <c r="A2303" s="421" t="s">
        <v>593</v>
      </c>
      <c r="B2303" s="412" t="e">
        <f>VLOOKUP(B2289,'BANG LUONG 1'!$B$5:$AJ$56,17,0)</f>
        <v>#N/A</v>
      </c>
      <c r="C2303" s="421"/>
      <c r="D2303" s="41" t="e">
        <f>(B2297/26)*B2303</f>
        <v>#N/A</v>
      </c>
    </row>
    <row r="2304" spans="1:4" x14ac:dyDescent="0.25">
      <c r="A2304" s="421" t="s">
        <v>388</v>
      </c>
      <c r="B2304" s="412" t="e">
        <f>VLOOKUP(B2289,'BANG LUONG 1'!$B$5:$AJ$56,18,0)</f>
        <v>#N/A</v>
      </c>
      <c r="C2304" s="421">
        <v>15</v>
      </c>
      <c r="D2304" s="41" t="e">
        <f>(B2297/26*B2304)*3</f>
        <v>#N/A</v>
      </c>
    </row>
    <row r="2305" spans="1:5" x14ac:dyDescent="0.25">
      <c r="A2305" s="421" t="s">
        <v>533</v>
      </c>
      <c r="B2305" s="412" t="e">
        <f>VLOOKUP(B2289,'BANG LUONG 1'!$B$5:$AJ$56,19,0)</f>
        <v>#N/A</v>
      </c>
      <c r="C2305" s="183">
        <v>16</v>
      </c>
      <c r="D2305" s="185" t="e">
        <f>B2299+D2301+D2302+D2300+D2304+D2303</f>
        <v>#N/A</v>
      </c>
      <c r="E2305" s="108"/>
    </row>
    <row r="2306" spans="1:5" x14ac:dyDescent="0.25">
      <c r="A2306" s="421" t="s">
        <v>535</v>
      </c>
      <c r="B2306" s="412" t="e">
        <f>VLOOKUP(B2289,'BANG LUONG 1'!$B$5:$AJ$56,20,0)</f>
        <v>#N/A</v>
      </c>
      <c r="C2306" s="421">
        <v>17</v>
      </c>
      <c r="D2306" s="41"/>
    </row>
    <row r="2307" spans="1:5" x14ac:dyDescent="0.25">
      <c r="A2307" s="421" t="s">
        <v>370</v>
      </c>
      <c r="B2307" s="412" t="e">
        <f>VLOOKUP(B2289,'BANG LUONG 1'!$B$5:$AJ$56,22,0)</f>
        <v>#N/A</v>
      </c>
      <c r="C2307" s="421">
        <v>18</v>
      </c>
      <c r="D2307" s="41"/>
    </row>
    <row r="2308" spans="1:5" x14ac:dyDescent="0.25">
      <c r="A2308" s="421" t="s">
        <v>371</v>
      </c>
      <c r="B2308" s="412" t="e">
        <f>VLOOKUP(B2289,'BANG LUONG 1'!$B$5:$AJ$56,23,0)</f>
        <v>#N/A</v>
      </c>
      <c r="C2308" s="421">
        <v>19</v>
      </c>
      <c r="D2308" s="41"/>
    </row>
    <row r="2309" spans="1:5" x14ac:dyDescent="0.25">
      <c r="A2309" s="421" t="s">
        <v>560</v>
      </c>
      <c r="B2309" s="412" t="e">
        <f>VLOOKUP(B2289,'BANG LUONG 1'!$B$5:$AJ$56,24,0)</f>
        <v>#N/A</v>
      </c>
      <c r="C2309" s="421">
        <v>22</v>
      </c>
      <c r="D2309" s="41"/>
    </row>
    <row r="2310" spans="1:5" x14ac:dyDescent="0.25">
      <c r="A2310" s="183" t="s">
        <v>237</v>
      </c>
      <c r="B2310" s="415" t="e">
        <f>VLOOKUP(B2289,'BANG LUONG 1'!$B$5:$AJ$56,26,0)</f>
        <v>#N/A</v>
      </c>
      <c r="C2310" s="421">
        <v>24</v>
      </c>
      <c r="D2310" s="41"/>
    </row>
    <row r="2311" spans="1:5" x14ac:dyDescent="0.25">
      <c r="A2311" s="421" t="s">
        <v>545</v>
      </c>
      <c r="B2311" s="412" t="e">
        <f>VLOOKUP(B2289,'BANG LUONG 1'!$B$5:$AJ$56,27,0)</f>
        <v>#N/A</v>
      </c>
      <c r="C2311" s="421">
        <v>25</v>
      </c>
      <c r="D2311" s="41"/>
    </row>
    <row r="2312" spans="1:5" x14ac:dyDescent="0.25">
      <c r="A2312" s="421" t="s">
        <v>544</v>
      </c>
      <c r="B2312" s="412" t="e">
        <f>VLOOKUP(B2289,'BANG LUONG 1'!$B$5:$AJ$56,28,0)</f>
        <v>#N/A</v>
      </c>
      <c r="C2312" s="421">
        <v>26</v>
      </c>
      <c r="D2312" s="41"/>
    </row>
    <row r="2313" spans="1:5" x14ac:dyDescent="0.25">
      <c r="A2313" s="421" t="s">
        <v>712</v>
      </c>
      <c r="B2313" s="415" t="e">
        <f>VLOOKUP(B2289,'BANG LUONG 1'!$B$5:$AJ$56,32,0)</f>
        <v>#N/A</v>
      </c>
      <c r="C2313" s="421"/>
      <c r="D2313" s="41"/>
    </row>
    <row r="2314" spans="1:5" x14ac:dyDescent="0.25">
      <c r="A2314" s="421" t="s">
        <v>713</v>
      </c>
      <c r="B2314" s="415" t="e">
        <f>VLOOKUP(B2289,'BANG LUONG 1'!$B$5:$AJ$56,33,0)</f>
        <v>#N/A</v>
      </c>
      <c r="C2314" s="421"/>
      <c r="D2314" s="41"/>
    </row>
    <row r="2315" spans="1:5" x14ac:dyDescent="0.25">
      <c r="A2315" s="183" t="s">
        <v>707</v>
      </c>
      <c r="B2315" s="415" t="e">
        <f>VLOOKUP(B2289,'BANG LUONG 1'!$B$5:$AJ$56,34,0)</f>
        <v>#N/A</v>
      </c>
      <c r="C2315" s="421"/>
      <c r="D2315" s="41"/>
      <c r="E2315" s="108" t="e">
        <f>B2290</f>
        <v>#N/A</v>
      </c>
    </row>
    <row r="2316" spans="1:5" x14ac:dyDescent="0.25">
      <c r="A2316" s="183" t="s">
        <v>546</v>
      </c>
      <c r="B2316" s="415" t="e">
        <f>VLOOKUP(B2289,'BANG LUONG 1'!$B$5:$AJ$56,35,0)</f>
        <v>#N/A</v>
      </c>
      <c r="C2316" s="421"/>
      <c r="D2316" s="41"/>
    </row>
    <row r="2317" spans="1:5" x14ac:dyDescent="0.25">
      <c r="A2317" s="183"/>
      <c r="B2317" s="412"/>
      <c r="C2317" s="421">
        <v>27</v>
      </c>
      <c r="D2317" s="185"/>
    </row>
    <row r="2318" spans="1:5" x14ac:dyDescent="0.25">
      <c r="A2318" s="184" t="s">
        <v>549</v>
      </c>
      <c r="B2318" s="424">
        <f>'BANG LUONG 1'!$P$3</f>
        <v>43733</v>
      </c>
    </row>
    <row r="2319" spans="1:5" x14ac:dyDescent="0.25">
      <c r="A2319" s="183" t="s">
        <v>1</v>
      </c>
      <c r="B2319" s="185" t="s">
        <v>157</v>
      </c>
      <c r="C2319" s="421">
        <v>1</v>
      </c>
      <c r="D2319" s="41"/>
    </row>
    <row r="2320" spans="1:5" x14ac:dyDescent="0.25">
      <c r="A2320" s="183" t="s">
        <v>2</v>
      </c>
      <c r="B2320" s="185" t="e">
        <f>VLOOKUP($B2319,'BANG LUONG 1'!$B$6:$AB$51,C2320,0)</f>
        <v>#N/A</v>
      </c>
      <c r="C2320" s="421">
        <v>2</v>
      </c>
      <c r="D2320" s="41"/>
    </row>
    <row r="2321" spans="1:5" x14ac:dyDescent="0.25">
      <c r="A2321" s="421" t="s">
        <v>3</v>
      </c>
      <c r="B2321" s="41" t="e">
        <f>VLOOKUP($B2319,'BANG LUONG 1'!$B$6:$AJ$48,C2321,0)</f>
        <v>#N/A</v>
      </c>
      <c r="C2321" s="421">
        <v>3</v>
      </c>
      <c r="D2321" s="41"/>
    </row>
    <row r="2322" spans="1:5" x14ac:dyDescent="0.25">
      <c r="A2322" s="421" t="s">
        <v>376</v>
      </c>
      <c r="B2322" s="410" t="e">
        <f>VLOOKUP($B2319,'BANG LUONG 1'!$B$5:$AJ$56,4,0)</f>
        <v>#N/A</v>
      </c>
      <c r="C2322" s="421">
        <v>4</v>
      </c>
      <c r="D2322" s="41"/>
    </row>
    <row r="2323" spans="1:5" x14ac:dyDescent="0.25">
      <c r="A2323" s="421" t="s">
        <v>698</v>
      </c>
      <c r="B2323" s="411" t="e">
        <f>VLOOKUP(B2319,'BANG LUONG 1'!$B$5:$AJ$56,6,0)</f>
        <v>#N/A</v>
      </c>
      <c r="C2323" s="421">
        <v>5</v>
      </c>
      <c r="D2323" s="41"/>
    </row>
    <row r="2324" spans="1:5" x14ac:dyDescent="0.25">
      <c r="A2324" s="421" t="s">
        <v>229</v>
      </c>
      <c r="B2324" s="412">
        <f>'thang luong moi'!$F$5</f>
        <v>4012500</v>
      </c>
      <c r="C2324" s="421">
        <v>6</v>
      </c>
      <c r="D2324" s="41"/>
    </row>
    <row r="2325" spans="1:5" x14ac:dyDescent="0.25">
      <c r="A2325" s="421" t="s">
        <v>217</v>
      </c>
      <c r="B2325" s="412" t="e">
        <f>VLOOKUP(B2319,'BANG LUONG 1'!$B$5:$AJ$56,8,0)</f>
        <v>#N/A</v>
      </c>
      <c r="C2325" s="421">
        <v>7</v>
      </c>
      <c r="D2325" s="41"/>
    </row>
    <row r="2326" spans="1:5" x14ac:dyDescent="0.25">
      <c r="A2326" s="421" t="s">
        <v>230</v>
      </c>
      <c r="B2326" s="412" t="e">
        <f>VLOOKUP(B2319,'BANG LUONG 1'!$B$5:$AJ$56,9,0)</f>
        <v>#N/A</v>
      </c>
      <c r="C2326" s="421">
        <v>8</v>
      </c>
      <c r="D2326" s="41"/>
    </row>
    <row r="2327" spans="1:5" x14ac:dyDescent="0.25">
      <c r="A2327" s="421" t="s">
        <v>538</v>
      </c>
      <c r="B2327" s="412" t="e">
        <f>VLOOKUP(B2319,'BANG LUONG 1'!$B$5:$AJ$56,11,0)</f>
        <v>#N/A</v>
      </c>
      <c r="C2327" s="421">
        <v>9</v>
      </c>
      <c r="D2327" s="41"/>
    </row>
    <row r="2328" spans="1:5" x14ac:dyDescent="0.25">
      <c r="A2328" s="421" t="s">
        <v>354</v>
      </c>
      <c r="B2328" s="412" t="e">
        <f>VLOOKUP(B2319,'BANG LUONG 1'!$B$5:$AJ$56,12,0)</f>
        <v>#N/A</v>
      </c>
      <c r="C2328" s="421">
        <v>10</v>
      </c>
      <c r="D2328" s="41"/>
    </row>
    <row r="2329" spans="1:5" x14ac:dyDescent="0.25">
      <c r="A2329" s="421" t="s">
        <v>534</v>
      </c>
      <c r="B2329" s="412" t="e">
        <f>VLOOKUP(B2319,'BANG LUONG 1'!$B$5:$AJ$56,13,0)</f>
        <v>#N/A</v>
      </c>
      <c r="C2329" s="421">
        <v>11</v>
      </c>
      <c r="D2329" s="41"/>
    </row>
    <row r="2330" spans="1:5" x14ac:dyDescent="0.25">
      <c r="A2330" s="421" t="s">
        <v>592</v>
      </c>
      <c r="B2330" s="412" t="e">
        <f>VLOOKUP(B2319,'BANG LUONG 1'!$B$5:$AJ$56,14,0)</f>
        <v>#N/A</v>
      </c>
      <c r="C2330" s="421">
        <v>12</v>
      </c>
      <c r="D2330" s="41" t="e">
        <f>B2327/26*B2330</f>
        <v>#N/A</v>
      </c>
    </row>
    <row r="2331" spans="1:5" x14ac:dyDescent="0.25">
      <c r="A2331" s="421" t="s">
        <v>357</v>
      </c>
      <c r="B2331" s="412" t="e">
        <f>VLOOKUP(B2319,'BANG LUONG 1'!$B$5:$AJ$56,15,0)</f>
        <v>#N/A</v>
      </c>
      <c r="C2331" s="421">
        <v>13</v>
      </c>
      <c r="D2331" s="41" t="e">
        <f>B2327/26/8*1.5*B2331</f>
        <v>#N/A</v>
      </c>
    </row>
    <row r="2332" spans="1:5" x14ac:dyDescent="0.25">
      <c r="A2332" s="421" t="s">
        <v>387</v>
      </c>
      <c r="B2332" s="412" t="e">
        <f>VLOOKUP(B2319,'BANG LUONG 1'!$B$5:$AJ$56,16,0)</f>
        <v>#N/A</v>
      </c>
      <c r="C2332" s="421">
        <v>14</v>
      </c>
      <c r="D2332" s="41" t="e">
        <f>B2327/26/8*2*B2332</f>
        <v>#N/A</v>
      </c>
    </row>
    <row r="2333" spans="1:5" x14ac:dyDescent="0.25">
      <c r="A2333" s="421" t="s">
        <v>593</v>
      </c>
      <c r="B2333" s="412" t="e">
        <f>VLOOKUP(B2319,'BANG LUONG 1'!$B$5:$AJ$56,17,0)</f>
        <v>#N/A</v>
      </c>
      <c r="C2333" s="421"/>
      <c r="D2333" s="41" t="e">
        <f>(B2327/26)*B2333</f>
        <v>#N/A</v>
      </c>
    </row>
    <row r="2334" spans="1:5" x14ac:dyDescent="0.25">
      <c r="A2334" s="421" t="s">
        <v>388</v>
      </c>
      <c r="B2334" s="412" t="e">
        <f>VLOOKUP(B2319,'BANG LUONG 1'!$B$5:$AJ$56,18,0)</f>
        <v>#N/A</v>
      </c>
      <c r="C2334" s="421">
        <v>15</v>
      </c>
      <c r="D2334" s="41" t="e">
        <f>(B2327/26*B2334)*3</f>
        <v>#N/A</v>
      </c>
    </row>
    <row r="2335" spans="1:5" x14ac:dyDescent="0.25">
      <c r="A2335" s="421" t="s">
        <v>533</v>
      </c>
      <c r="B2335" s="412" t="e">
        <f>VLOOKUP(B2319,'BANG LUONG 1'!$B$5:$AJ$56,19,0)</f>
        <v>#N/A</v>
      </c>
      <c r="C2335" s="183">
        <v>16</v>
      </c>
      <c r="D2335" s="185" t="e">
        <f>B2329+D2331+D2332+D2330+D2334+D2333</f>
        <v>#N/A</v>
      </c>
      <c r="E2335" s="108"/>
    </row>
    <row r="2336" spans="1:5" x14ac:dyDescent="0.25">
      <c r="A2336" s="421" t="s">
        <v>535</v>
      </c>
      <c r="B2336" s="412" t="e">
        <f>VLOOKUP(B2319,'BANG LUONG 1'!$B$5:$AJ$56,20,0)</f>
        <v>#N/A</v>
      </c>
      <c r="C2336" s="421">
        <v>17</v>
      </c>
      <c r="D2336" s="41"/>
    </row>
    <row r="2337" spans="1:5" x14ac:dyDescent="0.25">
      <c r="A2337" s="421" t="s">
        <v>370</v>
      </c>
      <c r="B2337" s="412" t="e">
        <f>VLOOKUP(B2319,'BANG LUONG 1'!$B$5:$AJ$56,22,0)</f>
        <v>#N/A</v>
      </c>
      <c r="C2337" s="421">
        <v>18</v>
      </c>
      <c r="D2337" s="41"/>
    </row>
    <row r="2338" spans="1:5" x14ac:dyDescent="0.25">
      <c r="A2338" s="421" t="s">
        <v>371</v>
      </c>
      <c r="B2338" s="412" t="e">
        <f>VLOOKUP(B2319,'BANG LUONG 1'!$B$5:$AJ$56,23,0)</f>
        <v>#N/A</v>
      </c>
      <c r="C2338" s="421">
        <v>19</v>
      </c>
      <c r="D2338" s="41"/>
    </row>
    <row r="2339" spans="1:5" x14ac:dyDescent="0.25">
      <c r="A2339" s="421" t="s">
        <v>560</v>
      </c>
      <c r="B2339" s="412" t="e">
        <f>VLOOKUP(B2319,'BANG LUONG 1'!$B$5:$AJ$56,24,0)</f>
        <v>#N/A</v>
      </c>
      <c r="C2339" s="421">
        <v>22</v>
      </c>
      <c r="D2339" s="41"/>
    </row>
    <row r="2340" spans="1:5" x14ac:dyDescent="0.25">
      <c r="A2340" s="183" t="s">
        <v>237</v>
      </c>
      <c r="B2340" s="415" t="e">
        <f>VLOOKUP(B2319,'BANG LUONG 1'!$B$5:$AJ$56,26,0)</f>
        <v>#N/A</v>
      </c>
      <c r="C2340" s="421">
        <v>24</v>
      </c>
      <c r="D2340" s="41"/>
    </row>
    <row r="2341" spans="1:5" x14ac:dyDescent="0.25">
      <c r="A2341" s="421" t="s">
        <v>545</v>
      </c>
      <c r="B2341" s="412" t="e">
        <f>VLOOKUP(B2319,'BANG LUONG 1'!$B$5:$AJ$56,27,0)</f>
        <v>#N/A</v>
      </c>
      <c r="C2341" s="421">
        <v>25</v>
      </c>
      <c r="D2341" s="41"/>
    </row>
    <row r="2342" spans="1:5" x14ac:dyDescent="0.25">
      <c r="A2342" s="421" t="s">
        <v>544</v>
      </c>
      <c r="B2342" s="412" t="e">
        <f>VLOOKUP(B2319,'BANG LUONG 1'!$B$5:$AJ$56,28,0)</f>
        <v>#N/A</v>
      </c>
      <c r="C2342" s="421">
        <v>26</v>
      </c>
      <c r="D2342" s="41"/>
    </row>
    <row r="2343" spans="1:5" x14ac:dyDescent="0.25">
      <c r="A2343" s="421" t="s">
        <v>712</v>
      </c>
      <c r="B2343" s="415" t="e">
        <f>VLOOKUP(B2319,'BANG LUONG 1'!$B$5:$AJ$56,32,0)</f>
        <v>#N/A</v>
      </c>
      <c r="C2343" s="421"/>
      <c r="D2343" s="41"/>
    </row>
    <row r="2344" spans="1:5" x14ac:dyDescent="0.25">
      <c r="A2344" s="421" t="s">
        <v>713</v>
      </c>
      <c r="B2344" s="415" t="e">
        <f>VLOOKUP(B2319,'BANG LUONG 1'!$B$5:$AJ$56,33,0)</f>
        <v>#N/A</v>
      </c>
      <c r="C2344" s="421"/>
      <c r="D2344" s="41"/>
    </row>
    <row r="2345" spans="1:5" x14ac:dyDescent="0.25">
      <c r="A2345" s="183" t="s">
        <v>707</v>
      </c>
      <c r="B2345" s="415" t="e">
        <f>VLOOKUP(B2319,'BANG LUONG 1'!$B$5:$AJ$56,34,0)</f>
        <v>#N/A</v>
      </c>
      <c r="C2345" s="421"/>
      <c r="D2345" s="41"/>
      <c r="E2345" s="108" t="e">
        <f>B2320</f>
        <v>#N/A</v>
      </c>
    </row>
    <row r="2346" spans="1:5" x14ac:dyDescent="0.25">
      <c r="A2346" s="183" t="s">
        <v>546</v>
      </c>
      <c r="B2346" s="415" t="e">
        <f>VLOOKUP(B2319,'BANG LUONG 1'!$B$5:$AJ$56,35,0)</f>
        <v>#N/A</v>
      </c>
      <c r="C2346" s="421"/>
      <c r="D2346" s="41"/>
    </row>
    <row r="2347" spans="1:5" x14ac:dyDescent="0.25">
      <c r="A2347" s="183"/>
      <c r="B2347" s="412"/>
      <c r="C2347" s="421">
        <v>27</v>
      </c>
      <c r="D2347" s="185"/>
    </row>
    <row r="2348" spans="1:5" x14ac:dyDescent="0.25">
      <c r="A2348" s="184" t="s">
        <v>549</v>
      </c>
      <c r="B2348" s="424">
        <f>'BANG LUONG 1'!$P$3</f>
        <v>43733</v>
      </c>
    </row>
    <row r="2349" spans="1:5" x14ac:dyDescent="0.25">
      <c r="A2349" s="183" t="s">
        <v>1</v>
      </c>
      <c r="B2349" s="185" t="s">
        <v>158</v>
      </c>
      <c r="C2349" s="421">
        <v>1</v>
      </c>
      <c r="D2349" s="41"/>
    </row>
    <row r="2350" spans="1:5" x14ac:dyDescent="0.25">
      <c r="A2350" s="183" t="s">
        <v>2</v>
      </c>
      <c r="B2350" s="185" t="str">
        <f>VLOOKUP($B2349,'BANG LUONG 1'!$B$6:$AB$51,C2350,0)</f>
        <v>Bùi Văn Ây</v>
      </c>
      <c r="C2350" s="421">
        <v>2</v>
      </c>
      <c r="D2350" s="41"/>
    </row>
    <row r="2351" spans="1:5" x14ac:dyDescent="0.25">
      <c r="A2351" s="421" t="s">
        <v>3</v>
      </c>
      <c r="B2351" s="41" t="str">
        <f>VLOOKUP($B2349,'BANG LUONG 1'!$B$6:$AJ$48,C2351,0)</f>
        <v xml:space="preserve">Công nhân </v>
      </c>
      <c r="C2351" s="421">
        <v>3</v>
      </c>
      <c r="D2351" s="41"/>
    </row>
    <row r="2352" spans="1:5" x14ac:dyDescent="0.25">
      <c r="A2352" s="421" t="s">
        <v>376</v>
      </c>
      <c r="B2352" s="410">
        <f>VLOOKUP($B2349,'BANG LUONG 1'!$B$5:$AJ$56,4,0)</f>
        <v>43458</v>
      </c>
      <c r="C2352" s="421">
        <v>4</v>
      </c>
      <c r="D2352" s="41"/>
    </row>
    <row r="2353" spans="1:5" x14ac:dyDescent="0.25">
      <c r="A2353" s="421" t="s">
        <v>698</v>
      </c>
      <c r="B2353" s="411">
        <f>VLOOKUP(B2349,'BANG LUONG 1'!$B$5:$AJ$56,6,0)</f>
        <v>0</v>
      </c>
      <c r="C2353" s="421">
        <v>5</v>
      </c>
      <c r="D2353" s="41"/>
    </row>
    <row r="2354" spans="1:5" x14ac:dyDescent="0.25">
      <c r="A2354" s="421" t="s">
        <v>229</v>
      </c>
      <c r="B2354" s="412">
        <f>'thang luong moi'!$F$5</f>
        <v>4012500</v>
      </c>
      <c r="C2354" s="421">
        <v>6</v>
      </c>
      <c r="D2354" s="41"/>
    </row>
    <row r="2355" spans="1:5" x14ac:dyDescent="0.25">
      <c r="A2355" s="421" t="s">
        <v>217</v>
      </c>
      <c r="B2355" s="412" t="str">
        <f>VLOOKUP(B2349,'BANG LUONG 1'!$B$5:$AJ$56,8,0)</f>
        <v>B.05</v>
      </c>
      <c r="C2355" s="421">
        <v>7</v>
      </c>
      <c r="D2355" s="41"/>
    </row>
    <row r="2356" spans="1:5" x14ac:dyDescent="0.25">
      <c r="A2356" s="421" t="s">
        <v>230</v>
      </c>
      <c r="B2356" s="412">
        <f>VLOOKUP(B2349,'BANG LUONG 1'!$B$5:$AJ$56,9,0)</f>
        <v>1</v>
      </c>
      <c r="C2356" s="421">
        <v>8</v>
      </c>
      <c r="D2356" s="41"/>
    </row>
    <row r="2357" spans="1:5" x14ac:dyDescent="0.25">
      <c r="A2357" s="421" t="s">
        <v>538</v>
      </c>
      <c r="B2357" s="412">
        <f>VLOOKUP(B2349,'BANG LUONG 1'!$B$5:$AJ$56,11,0)</f>
        <v>4213125</v>
      </c>
      <c r="C2357" s="421">
        <v>9</v>
      </c>
      <c r="D2357" s="41"/>
    </row>
    <row r="2358" spans="1:5" x14ac:dyDescent="0.25">
      <c r="A2358" s="421" t="s">
        <v>354</v>
      </c>
      <c r="B2358" s="412">
        <f>VLOOKUP(B2349,'BANG LUONG 1'!$B$5:$AJ$56,12,0)</f>
        <v>26</v>
      </c>
      <c r="C2358" s="421">
        <v>10</v>
      </c>
      <c r="D2358" s="41"/>
    </row>
    <row r="2359" spans="1:5" x14ac:dyDescent="0.25">
      <c r="A2359" s="421" t="s">
        <v>534</v>
      </c>
      <c r="B2359" s="412">
        <f>VLOOKUP(B2349,'BANG LUONG 1'!$B$5:$AJ$56,13,0)</f>
        <v>4213125</v>
      </c>
      <c r="C2359" s="421">
        <v>11</v>
      </c>
      <c r="D2359" s="41"/>
    </row>
    <row r="2360" spans="1:5" x14ac:dyDescent="0.25">
      <c r="A2360" s="421" t="s">
        <v>592</v>
      </c>
      <c r="B2360" s="412">
        <f>VLOOKUP(B2349,'BANG LUONG 1'!$B$5:$AJ$56,14,0)</f>
        <v>0</v>
      </c>
      <c r="C2360" s="421">
        <v>12</v>
      </c>
      <c r="D2360" s="41">
        <f>B2357/26*B2360</f>
        <v>0</v>
      </c>
    </row>
    <row r="2361" spans="1:5" x14ac:dyDescent="0.25">
      <c r="A2361" s="421" t="s">
        <v>357</v>
      </c>
      <c r="B2361" s="412">
        <f>VLOOKUP(B2349,'BANG LUONG 1'!$B$5:$AJ$56,15,0)</f>
        <v>0</v>
      </c>
      <c r="C2361" s="421">
        <v>13</v>
      </c>
      <c r="D2361" s="41">
        <f>B2357/26/8*1.5*B2361</f>
        <v>0</v>
      </c>
    </row>
    <row r="2362" spans="1:5" x14ac:dyDescent="0.25">
      <c r="A2362" s="421" t="s">
        <v>387</v>
      </c>
      <c r="B2362" s="412">
        <f>VLOOKUP(B2349,'BANG LUONG 1'!$B$5:$AJ$56,16,0)</f>
        <v>32</v>
      </c>
      <c r="C2362" s="421">
        <v>14</v>
      </c>
      <c r="D2362" s="41">
        <f>B2357/26/8*2*B2362</f>
        <v>1296346.1538461538</v>
      </c>
    </row>
    <row r="2363" spans="1:5" x14ac:dyDescent="0.25">
      <c r="A2363" s="421" t="s">
        <v>593</v>
      </c>
      <c r="B2363" s="412">
        <f>VLOOKUP(B2349,'BANG LUONG 1'!$B$5:$AJ$56,17,0)</f>
        <v>1</v>
      </c>
      <c r="C2363" s="421"/>
      <c r="D2363" s="41">
        <f>(B2357/26)*B2363</f>
        <v>162043.26923076922</v>
      </c>
    </row>
    <row r="2364" spans="1:5" x14ac:dyDescent="0.25">
      <c r="A2364" s="421" t="s">
        <v>388</v>
      </c>
      <c r="B2364" s="412">
        <f>VLOOKUP(B2349,'BANG LUONG 1'!$B$5:$AJ$56,18,0)</f>
        <v>0</v>
      </c>
      <c r="C2364" s="421">
        <v>15</v>
      </c>
      <c r="D2364" s="41">
        <f>(B2357/26*B2364)*3</f>
        <v>0</v>
      </c>
    </row>
    <row r="2365" spans="1:5" x14ac:dyDescent="0.25">
      <c r="A2365" s="421" t="s">
        <v>533</v>
      </c>
      <c r="B2365" s="412">
        <f>VLOOKUP(B2349,'BANG LUONG 1'!$B$5:$AJ$56,19,0)</f>
        <v>5671514.423076923</v>
      </c>
      <c r="C2365" s="183">
        <v>16</v>
      </c>
      <c r="D2365" s="185">
        <f>B2359+D2361+D2362+D2360+D2364+D2363</f>
        <v>5671514.423076923</v>
      </c>
      <c r="E2365" s="108"/>
    </row>
    <row r="2366" spans="1:5" x14ac:dyDescent="0.25">
      <c r="A2366" s="421" t="s">
        <v>535</v>
      </c>
      <c r="B2366" s="412">
        <f>VLOOKUP(B2349,'BANG LUONG 1'!$B$5:$AJ$56,20,0)</f>
        <v>979182.69230769202</v>
      </c>
      <c r="C2366" s="421">
        <v>17</v>
      </c>
      <c r="D2366" s="41"/>
    </row>
    <row r="2367" spans="1:5" x14ac:dyDescent="0.25">
      <c r="A2367" s="421" t="s">
        <v>370</v>
      </c>
      <c r="B2367" s="412">
        <f>VLOOKUP(B2349,'BANG LUONG 1'!$B$5:$AJ$56,22,0)</f>
        <v>0</v>
      </c>
      <c r="C2367" s="421">
        <v>18</v>
      </c>
      <c r="D2367" s="41"/>
    </row>
    <row r="2368" spans="1:5" x14ac:dyDescent="0.25">
      <c r="A2368" s="421" t="s">
        <v>371</v>
      </c>
      <c r="B2368" s="412">
        <f>VLOOKUP(B2349,'BANG LUONG 1'!$B$5:$AJ$56,23,0)</f>
        <v>300000</v>
      </c>
      <c r="C2368" s="421">
        <v>19</v>
      </c>
      <c r="D2368" s="41"/>
    </row>
    <row r="2369" spans="1:5" x14ac:dyDescent="0.25">
      <c r="A2369" s="421" t="s">
        <v>560</v>
      </c>
      <c r="B2369" s="412">
        <f>VLOOKUP(B2349,'BANG LUONG 1'!$B$5:$AJ$56,24,0)</f>
        <v>0</v>
      </c>
      <c r="C2369" s="421">
        <v>22</v>
      </c>
      <c r="D2369" s="41"/>
    </row>
    <row r="2370" spans="1:5" x14ac:dyDescent="0.25">
      <c r="A2370" s="183" t="s">
        <v>237</v>
      </c>
      <c r="B2370" s="415">
        <f>VLOOKUP(B2349,'BANG LUONG 1'!$B$5:$AJ$56,26,0)</f>
        <v>6950697.115384615</v>
      </c>
      <c r="C2370" s="421">
        <v>24</v>
      </c>
      <c r="D2370" s="41"/>
    </row>
    <row r="2371" spans="1:5" x14ac:dyDescent="0.25">
      <c r="A2371" s="421" t="s">
        <v>545</v>
      </c>
      <c r="B2371" s="412">
        <f>VLOOKUP(B2349,'BANG LUONG 1'!$B$5:$AJ$56,27,0)</f>
        <v>4000000</v>
      </c>
      <c r="C2371" s="421">
        <v>25</v>
      </c>
      <c r="D2371" s="41"/>
    </row>
    <row r="2372" spans="1:5" x14ac:dyDescent="0.25">
      <c r="A2372" s="421" t="s">
        <v>544</v>
      </c>
      <c r="B2372" s="412">
        <f>VLOOKUP(B2349,'BANG LUONG 1'!$B$5:$AJ$56,28,0)</f>
        <v>0</v>
      </c>
      <c r="C2372" s="421">
        <v>26</v>
      </c>
      <c r="D2372" s="41"/>
    </row>
    <row r="2373" spans="1:5" x14ac:dyDescent="0.25">
      <c r="A2373" s="421" t="s">
        <v>712</v>
      </c>
      <c r="B2373" s="415">
        <f>VLOOKUP(B2349,'BANG LUONG 1'!$B$5:$AJ$56,32,0)</f>
        <v>0</v>
      </c>
      <c r="C2373" s="421"/>
      <c r="D2373" s="41"/>
    </row>
    <row r="2374" spans="1:5" x14ac:dyDescent="0.25">
      <c r="A2374" s="421" t="s">
        <v>713</v>
      </c>
      <c r="B2374" s="415">
        <f>VLOOKUP(B2349,'BANG LUONG 1'!$B$5:$AJ$56,33,0)</f>
        <v>0</v>
      </c>
      <c r="C2374" s="421"/>
      <c r="D2374" s="41"/>
    </row>
    <row r="2375" spans="1:5" x14ac:dyDescent="0.25">
      <c r="A2375" s="183" t="s">
        <v>707</v>
      </c>
      <c r="B2375" s="415">
        <f>VLOOKUP(B2349,'BANG LUONG 1'!$B$5:$AJ$56,34,0)</f>
        <v>0</v>
      </c>
      <c r="C2375" s="421"/>
      <c r="D2375" s="41"/>
      <c r="E2375" s="108" t="str">
        <f>B2350</f>
        <v>Bùi Văn Ây</v>
      </c>
    </row>
    <row r="2376" spans="1:5" x14ac:dyDescent="0.25">
      <c r="A2376" s="183" t="s">
        <v>546</v>
      </c>
      <c r="B2376" s="415">
        <f>VLOOKUP(B2349,'BANG LUONG 1'!$B$5:$AJ$56,35,0)</f>
        <v>3051000</v>
      </c>
      <c r="C2376" s="421"/>
      <c r="D2376" s="41"/>
    </row>
    <row r="2377" spans="1:5" x14ac:dyDescent="0.25">
      <c r="A2377" s="183"/>
      <c r="B2377" s="412"/>
      <c r="C2377" s="421">
        <v>27</v>
      </c>
      <c r="D2377" s="185"/>
    </row>
    <row r="2378" spans="1:5" x14ac:dyDescent="0.25">
      <c r="A2378" s="184" t="s">
        <v>549</v>
      </c>
      <c r="B2378" s="424">
        <f>'BANG LUONG 1'!$P$3</f>
        <v>43733</v>
      </c>
    </row>
    <row r="2379" spans="1:5" x14ac:dyDescent="0.25">
      <c r="A2379" s="183" t="s">
        <v>1</v>
      </c>
      <c r="B2379" s="185" t="s">
        <v>158</v>
      </c>
      <c r="C2379" s="421">
        <v>1</v>
      </c>
      <c r="D2379" s="41"/>
    </row>
    <row r="2380" spans="1:5" x14ac:dyDescent="0.25">
      <c r="A2380" s="183" t="s">
        <v>2</v>
      </c>
      <c r="B2380" s="185" t="str">
        <f>VLOOKUP($B2379,'BANG LUONG 1'!$B$6:$AB$51,C2380,0)</f>
        <v>Bùi Văn Ây</v>
      </c>
      <c r="C2380" s="421">
        <v>2</v>
      </c>
      <c r="D2380" s="41"/>
    </row>
    <row r="2381" spans="1:5" x14ac:dyDescent="0.25">
      <c r="A2381" s="421" t="s">
        <v>3</v>
      </c>
      <c r="B2381" s="41" t="str">
        <f>VLOOKUP($B2379,'BANG LUONG 1'!$B$6:$AJ$48,C2381,0)</f>
        <v xml:space="preserve">Công nhân </v>
      </c>
      <c r="C2381" s="421">
        <v>3</v>
      </c>
      <c r="D2381" s="41"/>
    </row>
    <row r="2382" spans="1:5" x14ac:dyDescent="0.25">
      <c r="A2382" s="421" t="s">
        <v>376</v>
      </c>
      <c r="B2382" s="410">
        <f>VLOOKUP($B2379,'BANG LUONG 1'!$B$5:$AJ$56,4,0)</f>
        <v>43458</v>
      </c>
      <c r="C2382" s="421">
        <v>4</v>
      </c>
      <c r="D2382" s="41"/>
    </row>
    <row r="2383" spans="1:5" x14ac:dyDescent="0.25">
      <c r="A2383" s="421" t="s">
        <v>698</v>
      </c>
      <c r="B2383" s="411">
        <f>VLOOKUP(B2379,'BANG LUONG 1'!$B$5:$AJ$56,6,0)</f>
        <v>0</v>
      </c>
      <c r="C2383" s="421">
        <v>5</v>
      </c>
      <c r="D2383" s="41"/>
    </row>
    <row r="2384" spans="1:5" x14ac:dyDescent="0.25">
      <c r="A2384" s="421" t="s">
        <v>229</v>
      </c>
      <c r="B2384" s="412">
        <f>'thang luong moi'!$F$5</f>
        <v>4012500</v>
      </c>
      <c r="C2384" s="421">
        <v>6</v>
      </c>
      <c r="D2384" s="41"/>
    </row>
    <row r="2385" spans="1:5" x14ac:dyDescent="0.25">
      <c r="A2385" s="421" t="s">
        <v>217</v>
      </c>
      <c r="B2385" s="412" t="str">
        <f>VLOOKUP(B2379,'BANG LUONG 1'!$B$5:$AJ$56,8,0)</f>
        <v>B.05</v>
      </c>
      <c r="C2385" s="421">
        <v>7</v>
      </c>
      <c r="D2385" s="41"/>
    </row>
    <row r="2386" spans="1:5" x14ac:dyDescent="0.25">
      <c r="A2386" s="421" t="s">
        <v>230</v>
      </c>
      <c r="B2386" s="412">
        <f>VLOOKUP(B2379,'BANG LUONG 1'!$B$5:$AJ$56,9,0)</f>
        <v>1</v>
      </c>
      <c r="C2386" s="421">
        <v>8</v>
      </c>
      <c r="D2386" s="41"/>
    </row>
    <row r="2387" spans="1:5" x14ac:dyDescent="0.25">
      <c r="A2387" s="421" t="s">
        <v>538</v>
      </c>
      <c r="B2387" s="412">
        <f>VLOOKUP(B2379,'BANG LUONG 1'!$B$5:$AJ$56,11,0)</f>
        <v>4213125</v>
      </c>
      <c r="C2387" s="421">
        <v>9</v>
      </c>
      <c r="D2387" s="41"/>
    </row>
    <row r="2388" spans="1:5" x14ac:dyDescent="0.25">
      <c r="A2388" s="421" t="s">
        <v>354</v>
      </c>
      <c r="B2388" s="412">
        <f>VLOOKUP(B2379,'BANG LUONG 1'!$B$5:$AJ$56,12,0)</f>
        <v>26</v>
      </c>
      <c r="C2388" s="421">
        <v>10</v>
      </c>
      <c r="D2388" s="41"/>
    </row>
    <row r="2389" spans="1:5" x14ac:dyDescent="0.25">
      <c r="A2389" s="421" t="s">
        <v>534</v>
      </c>
      <c r="B2389" s="412">
        <f>VLOOKUP(B2379,'BANG LUONG 1'!$B$5:$AJ$56,13,0)</f>
        <v>4213125</v>
      </c>
      <c r="C2389" s="421">
        <v>11</v>
      </c>
      <c r="D2389" s="41"/>
    </row>
    <row r="2390" spans="1:5" x14ac:dyDescent="0.25">
      <c r="A2390" s="421" t="s">
        <v>592</v>
      </c>
      <c r="B2390" s="412">
        <f>VLOOKUP(B2379,'BANG LUONG 1'!$B$5:$AJ$56,14,0)</f>
        <v>0</v>
      </c>
      <c r="C2390" s="421">
        <v>12</v>
      </c>
      <c r="D2390" s="41">
        <f>B2387/26*B2390</f>
        <v>0</v>
      </c>
    </row>
    <row r="2391" spans="1:5" x14ac:dyDescent="0.25">
      <c r="A2391" s="421" t="s">
        <v>357</v>
      </c>
      <c r="B2391" s="412">
        <f>VLOOKUP(B2379,'BANG LUONG 1'!$B$5:$AJ$56,15,0)</f>
        <v>0</v>
      </c>
      <c r="C2391" s="421">
        <v>13</v>
      </c>
      <c r="D2391" s="41">
        <f>B2387/26/8*1.5*B2391</f>
        <v>0</v>
      </c>
    </row>
    <row r="2392" spans="1:5" x14ac:dyDescent="0.25">
      <c r="A2392" s="421" t="s">
        <v>387</v>
      </c>
      <c r="B2392" s="412">
        <f>VLOOKUP(B2379,'BANG LUONG 1'!$B$5:$AJ$56,16,0)</f>
        <v>32</v>
      </c>
      <c r="C2392" s="421">
        <v>14</v>
      </c>
      <c r="D2392" s="41">
        <f>B2387/26/8*2*B2392</f>
        <v>1296346.1538461538</v>
      </c>
    </row>
    <row r="2393" spans="1:5" x14ac:dyDescent="0.25">
      <c r="A2393" s="421" t="s">
        <v>593</v>
      </c>
      <c r="B2393" s="412">
        <f>VLOOKUP(B2379,'BANG LUONG 1'!$B$5:$AJ$56,17,0)</f>
        <v>1</v>
      </c>
      <c r="C2393" s="421"/>
      <c r="D2393" s="41">
        <f>(B2387/26)*B2393</f>
        <v>162043.26923076922</v>
      </c>
    </row>
    <row r="2394" spans="1:5" x14ac:dyDescent="0.25">
      <c r="A2394" s="421" t="s">
        <v>388</v>
      </c>
      <c r="B2394" s="412">
        <f>VLOOKUP(B2379,'BANG LUONG 1'!$B$5:$AJ$56,18,0)</f>
        <v>0</v>
      </c>
      <c r="C2394" s="421">
        <v>15</v>
      </c>
      <c r="D2394" s="41">
        <f>(B2387/26*B2394)*3</f>
        <v>0</v>
      </c>
    </row>
    <row r="2395" spans="1:5" x14ac:dyDescent="0.25">
      <c r="A2395" s="421" t="s">
        <v>533</v>
      </c>
      <c r="B2395" s="412">
        <f>VLOOKUP(B2379,'BANG LUONG 1'!$B$5:$AJ$56,19,0)</f>
        <v>5671514.423076923</v>
      </c>
      <c r="C2395" s="183">
        <v>16</v>
      </c>
      <c r="D2395" s="185">
        <f>B2389+D2391+D2392+D2390+D2394+D2393</f>
        <v>5671514.423076923</v>
      </c>
      <c r="E2395" s="108"/>
    </row>
    <row r="2396" spans="1:5" x14ac:dyDescent="0.25">
      <c r="A2396" s="421" t="s">
        <v>535</v>
      </c>
      <c r="B2396" s="412">
        <f>VLOOKUP(B2379,'BANG LUONG 1'!$B$5:$AJ$56,20,0)</f>
        <v>979182.69230769202</v>
      </c>
      <c r="C2396" s="421">
        <v>17</v>
      </c>
      <c r="D2396" s="41"/>
    </row>
    <row r="2397" spans="1:5" x14ac:dyDescent="0.25">
      <c r="A2397" s="421" t="s">
        <v>370</v>
      </c>
      <c r="B2397" s="412">
        <f>VLOOKUP(B2379,'BANG LUONG 1'!$B$5:$AJ$56,22,0)</f>
        <v>0</v>
      </c>
      <c r="C2397" s="421">
        <v>18</v>
      </c>
      <c r="D2397" s="41"/>
    </row>
    <row r="2398" spans="1:5" x14ac:dyDescent="0.25">
      <c r="A2398" s="421" t="s">
        <v>371</v>
      </c>
      <c r="B2398" s="412">
        <f>VLOOKUP(B2379,'BANG LUONG 1'!$B$5:$AJ$56,23,0)</f>
        <v>300000</v>
      </c>
      <c r="C2398" s="421">
        <v>19</v>
      </c>
      <c r="D2398" s="41"/>
    </row>
    <row r="2399" spans="1:5" x14ac:dyDescent="0.25">
      <c r="A2399" s="421" t="s">
        <v>560</v>
      </c>
      <c r="B2399" s="412">
        <f>VLOOKUP(B2379,'BANG LUONG 1'!$B$5:$AJ$56,24,0)</f>
        <v>0</v>
      </c>
      <c r="C2399" s="421">
        <v>22</v>
      </c>
      <c r="D2399" s="41"/>
    </row>
    <row r="2400" spans="1:5" x14ac:dyDescent="0.25">
      <c r="A2400" s="183" t="s">
        <v>237</v>
      </c>
      <c r="B2400" s="415">
        <f>VLOOKUP(B2379,'BANG LUONG 1'!$B$5:$AJ$56,26,0)</f>
        <v>6950697.115384615</v>
      </c>
      <c r="C2400" s="421">
        <v>24</v>
      </c>
      <c r="D2400" s="41"/>
    </row>
    <row r="2401" spans="1:5" x14ac:dyDescent="0.25">
      <c r="A2401" s="421" t="s">
        <v>545</v>
      </c>
      <c r="B2401" s="412">
        <f>VLOOKUP(B2379,'BANG LUONG 1'!$B$5:$AJ$56,27,0)</f>
        <v>4000000</v>
      </c>
      <c r="C2401" s="421">
        <v>25</v>
      </c>
      <c r="D2401" s="41"/>
    </row>
    <row r="2402" spans="1:5" x14ac:dyDescent="0.25">
      <c r="A2402" s="421" t="s">
        <v>544</v>
      </c>
      <c r="B2402" s="412">
        <f>VLOOKUP(B2379,'BANG LUONG 1'!$B$5:$AJ$56,28,0)</f>
        <v>0</v>
      </c>
      <c r="C2402" s="421">
        <v>26</v>
      </c>
      <c r="D2402" s="41"/>
    </row>
    <row r="2403" spans="1:5" x14ac:dyDescent="0.25">
      <c r="A2403" s="421" t="s">
        <v>712</v>
      </c>
      <c r="B2403" s="415">
        <f>VLOOKUP(B2379,'BANG LUONG 1'!$B$5:$AJ$56,32,0)</f>
        <v>0</v>
      </c>
      <c r="C2403" s="421"/>
      <c r="D2403" s="41"/>
    </row>
    <row r="2404" spans="1:5" x14ac:dyDescent="0.25">
      <c r="A2404" s="421" t="s">
        <v>713</v>
      </c>
      <c r="B2404" s="415">
        <f>VLOOKUP(B2379,'BANG LUONG 1'!$B$5:$AJ$56,33,0)</f>
        <v>0</v>
      </c>
      <c r="C2404" s="421"/>
      <c r="D2404" s="41"/>
    </row>
    <row r="2405" spans="1:5" x14ac:dyDescent="0.25">
      <c r="A2405" s="183" t="s">
        <v>707</v>
      </c>
      <c r="B2405" s="415">
        <f>VLOOKUP(B2379,'BANG LUONG 1'!$B$5:$AJ$56,34,0)</f>
        <v>0</v>
      </c>
      <c r="C2405" s="421"/>
      <c r="D2405" s="41"/>
      <c r="E2405" s="108" t="str">
        <f>B2380</f>
        <v>Bùi Văn Ây</v>
      </c>
    </row>
    <row r="2406" spans="1:5" x14ac:dyDescent="0.25">
      <c r="A2406" s="183" t="s">
        <v>546</v>
      </c>
      <c r="B2406" s="415">
        <f>VLOOKUP(B2379,'BANG LUONG 1'!$B$5:$AJ$56,35,0)</f>
        <v>3051000</v>
      </c>
      <c r="C2406" s="421"/>
      <c r="D2406" s="41"/>
    </row>
    <row r="2407" spans="1:5" x14ac:dyDescent="0.25">
      <c r="A2407" s="184" t="s">
        <v>549</v>
      </c>
      <c r="B2407" s="424">
        <f>'BANG LUONG 1'!$P$3</f>
        <v>43733</v>
      </c>
    </row>
    <row r="2408" spans="1:5" x14ac:dyDescent="0.25">
      <c r="A2408" s="183" t="s">
        <v>1</v>
      </c>
      <c r="B2408" s="185" t="s">
        <v>159</v>
      </c>
      <c r="C2408" s="421">
        <v>1</v>
      </c>
      <c r="D2408" s="41"/>
    </row>
    <row r="2409" spans="1:5" x14ac:dyDescent="0.25">
      <c r="A2409" s="183" t="s">
        <v>2</v>
      </c>
      <c r="B2409" s="185" t="str">
        <f>VLOOKUP($B2408,'BANG LUONG 1'!$B$6:$AB$51,C2409,0)</f>
        <v>Ngô Đình Chung</v>
      </c>
      <c r="C2409" s="421">
        <v>2</v>
      </c>
      <c r="D2409" s="41"/>
    </row>
    <row r="2410" spans="1:5" x14ac:dyDescent="0.25">
      <c r="A2410" s="421" t="s">
        <v>3</v>
      </c>
      <c r="B2410" s="41" t="e">
        <f>VLOOKUP($B2408,'BANG LUONG 1'!$B$6:$AJ$48,C2410,0)</f>
        <v>#N/A</v>
      </c>
      <c r="C2410" s="421">
        <v>3</v>
      </c>
      <c r="D2410" s="41"/>
    </row>
    <row r="2411" spans="1:5" x14ac:dyDescent="0.25">
      <c r="A2411" s="421" t="s">
        <v>376</v>
      </c>
      <c r="B2411" s="410">
        <f>VLOOKUP($B2408,'BANG LUONG 1'!$B$5:$AJ$56,4,0)</f>
        <v>42086</v>
      </c>
      <c r="C2411" s="421">
        <v>4</v>
      </c>
      <c r="D2411" s="41"/>
    </row>
    <row r="2412" spans="1:5" x14ac:dyDescent="0.25">
      <c r="A2412" s="421" t="s">
        <v>698</v>
      </c>
      <c r="B2412" s="411">
        <f>VLOOKUP(B2408,'BANG LUONG 1'!$B$5:$AJ$56,6,0)</f>
        <v>0.04</v>
      </c>
      <c r="C2412" s="421">
        <v>5</v>
      </c>
      <c r="D2412" s="41"/>
    </row>
    <row r="2413" spans="1:5" x14ac:dyDescent="0.25">
      <c r="A2413" s="421" t="s">
        <v>229</v>
      </c>
      <c r="B2413" s="412">
        <f>'thang luong moi'!$F$5</f>
        <v>4012500</v>
      </c>
      <c r="C2413" s="421">
        <v>6</v>
      </c>
      <c r="D2413" s="41"/>
    </row>
    <row r="2414" spans="1:5" x14ac:dyDescent="0.25">
      <c r="A2414" s="421" t="s">
        <v>217</v>
      </c>
      <c r="B2414" s="412" t="str">
        <f>VLOOKUP(B2408,'BANG LUONG 1'!$B$5:$AJ$56,8,0)</f>
        <v>B.01</v>
      </c>
      <c r="C2414" s="421">
        <v>7</v>
      </c>
      <c r="D2414" s="41"/>
    </row>
    <row r="2415" spans="1:5" x14ac:dyDescent="0.25">
      <c r="A2415" s="421" t="s">
        <v>230</v>
      </c>
      <c r="B2415" s="412">
        <f>VLOOKUP(B2408,'BANG LUONG 1'!$B$5:$AJ$56,9,0)</f>
        <v>1</v>
      </c>
      <c r="C2415" s="421">
        <v>8</v>
      </c>
      <c r="D2415" s="41"/>
    </row>
    <row r="2416" spans="1:5" x14ac:dyDescent="0.25">
      <c r="A2416" s="421" t="s">
        <v>538</v>
      </c>
      <c r="B2416" s="412">
        <f>VLOOKUP(B2408,'BANG LUONG 1'!$B$5:$AJ$56,11,0)</f>
        <v>4381650</v>
      </c>
      <c r="C2416" s="421">
        <v>9</v>
      </c>
      <c r="D2416" s="41"/>
    </row>
    <row r="2417" spans="1:5" x14ac:dyDescent="0.25">
      <c r="A2417" s="421" t="s">
        <v>354</v>
      </c>
      <c r="B2417" s="412">
        <f>VLOOKUP(B2408,'BANG LUONG 1'!$B$5:$AJ$56,12,0)</f>
        <v>23</v>
      </c>
      <c r="C2417" s="421">
        <v>10</v>
      </c>
      <c r="D2417" s="41"/>
    </row>
    <row r="2418" spans="1:5" x14ac:dyDescent="0.25">
      <c r="A2418" s="421" t="s">
        <v>534</v>
      </c>
      <c r="B2418" s="412">
        <f>VLOOKUP(B2408,'BANG LUONG 1'!$B$5:$AJ$56,13,0)</f>
        <v>3876075</v>
      </c>
      <c r="C2418" s="421">
        <v>11</v>
      </c>
      <c r="D2418" s="41"/>
    </row>
    <row r="2419" spans="1:5" x14ac:dyDescent="0.25">
      <c r="A2419" s="421" t="s">
        <v>592</v>
      </c>
      <c r="B2419" s="412">
        <f>VLOOKUP(B2408,'BANG LUONG 1'!$B$5:$AJ$56,14,0)</f>
        <v>0</v>
      </c>
      <c r="C2419" s="421">
        <v>12</v>
      </c>
      <c r="D2419" s="41">
        <f>B2416/26*B2419</f>
        <v>0</v>
      </c>
    </row>
    <row r="2420" spans="1:5" x14ac:dyDescent="0.25">
      <c r="A2420" s="421" t="s">
        <v>357</v>
      </c>
      <c r="B2420" s="412">
        <f>VLOOKUP(B2408,'BANG LUONG 1'!$B$5:$AJ$56,15,0)</f>
        <v>0</v>
      </c>
      <c r="C2420" s="421">
        <v>13</v>
      </c>
      <c r="D2420" s="41">
        <f>B2416/26/8*1.5*B2420</f>
        <v>0</v>
      </c>
    </row>
    <row r="2421" spans="1:5" x14ac:dyDescent="0.25">
      <c r="A2421" s="421" t="s">
        <v>387</v>
      </c>
      <c r="B2421" s="412">
        <f>VLOOKUP(B2408,'BANG LUONG 1'!$B$5:$AJ$56,16,0)</f>
        <v>0</v>
      </c>
      <c r="C2421" s="421">
        <v>14</v>
      </c>
      <c r="D2421" s="41">
        <f>B2416/26/8*2*B2421</f>
        <v>0</v>
      </c>
    </row>
    <row r="2422" spans="1:5" x14ac:dyDescent="0.25">
      <c r="A2422" s="421" t="s">
        <v>593</v>
      </c>
      <c r="B2422" s="412">
        <f>VLOOKUP(B2408,'BANG LUONG 1'!$B$5:$AJ$56,17,0)</f>
        <v>1</v>
      </c>
      <c r="C2422" s="421"/>
      <c r="D2422" s="41">
        <f>(B2416/26)*B2422</f>
        <v>168525</v>
      </c>
    </row>
    <row r="2423" spans="1:5" x14ac:dyDescent="0.25">
      <c r="A2423" s="421" t="s">
        <v>388</v>
      </c>
      <c r="B2423" s="412">
        <f>VLOOKUP(B2408,'BANG LUONG 1'!$B$5:$AJ$56,18,0)</f>
        <v>0</v>
      </c>
      <c r="C2423" s="421">
        <v>15</v>
      </c>
      <c r="D2423" s="41">
        <f>(B2416/26*B2423)*3</f>
        <v>0</v>
      </c>
    </row>
    <row r="2424" spans="1:5" x14ac:dyDescent="0.25">
      <c r="A2424" s="421" t="s">
        <v>533</v>
      </c>
      <c r="B2424" s="412">
        <f>VLOOKUP(B2408,'BANG LUONG 1'!$B$5:$AJ$56,19,0)</f>
        <v>4752292.307692308</v>
      </c>
      <c r="C2424" s="183">
        <v>16</v>
      </c>
      <c r="D2424" s="185">
        <f>B2418+D2420+D2421+D2419+D2423+D2422</f>
        <v>4044600</v>
      </c>
      <c r="E2424" s="108"/>
    </row>
    <row r="2425" spans="1:5" x14ac:dyDescent="0.25">
      <c r="A2425" s="421" t="s">
        <v>535</v>
      </c>
      <c r="B2425" s="412">
        <f>VLOOKUP(B2408,'BANG LUONG 1'!$B$5:$AJ$56,20,0)</f>
        <v>0</v>
      </c>
      <c r="C2425" s="421">
        <v>17</v>
      </c>
      <c r="D2425" s="41"/>
    </row>
    <row r="2426" spans="1:5" x14ac:dyDescent="0.25">
      <c r="A2426" s="421" t="s">
        <v>370</v>
      </c>
      <c r="B2426" s="412">
        <f>VLOOKUP(B2408,'BANG LUONG 1'!$B$5:$AJ$56,22,0)</f>
        <v>175266</v>
      </c>
      <c r="C2426" s="421">
        <v>18</v>
      </c>
      <c r="D2426" s="41"/>
    </row>
    <row r="2427" spans="1:5" x14ac:dyDescent="0.25">
      <c r="A2427" s="421" t="s">
        <v>371</v>
      </c>
      <c r="B2427" s="412">
        <f>VLOOKUP(B2408,'BANG LUONG 1'!$B$5:$AJ$56,23,0)</f>
        <v>0</v>
      </c>
      <c r="C2427" s="421">
        <v>19</v>
      </c>
      <c r="D2427" s="41"/>
    </row>
    <row r="2428" spans="1:5" x14ac:dyDescent="0.25">
      <c r="A2428" s="421" t="s">
        <v>560</v>
      </c>
      <c r="B2428" s="412">
        <f>VLOOKUP(B2408,'BANG LUONG 1'!$B$5:$AJ$56,24,0)</f>
        <v>800000</v>
      </c>
      <c r="C2428" s="421">
        <v>22</v>
      </c>
      <c r="D2428" s="41"/>
    </row>
    <row r="2429" spans="1:5" x14ac:dyDescent="0.25">
      <c r="A2429" s="183" t="s">
        <v>237</v>
      </c>
      <c r="B2429" s="415">
        <f>VLOOKUP(B2408,'BANG LUONG 1'!$B$5:$AJ$56,26,0)</f>
        <v>4927558.307692308</v>
      </c>
      <c r="C2429" s="421">
        <v>24</v>
      </c>
      <c r="D2429" s="41"/>
    </row>
    <row r="2430" spans="1:5" x14ac:dyDescent="0.25">
      <c r="A2430" s="421" t="s">
        <v>545</v>
      </c>
      <c r="B2430" s="412">
        <f>VLOOKUP(B2408,'BANG LUONG 1'!$B$5:$AJ$56,27,0)</f>
        <v>2000000</v>
      </c>
      <c r="C2430" s="421">
        <v>25</v>
      </c>
      <c r="D2430" s="41"/>
    </row>
    <row r="2431" spans="1:5" x14ac:dyDescent="0.25">
      <c r="A2431" s="421" t="s">
        <v>544</v>
      </c>
      <c r="B2431" s="412">
        <f>VLOOKUP(B2408,'BANG LUONG 1'!$B$5:$AJ$56,28,0)</f>
        <v>0</v>
      </c>
      <c r="C2431" s="421">
        <v>26</v>
      </c>
      <c r="D2431" s="41"/>
    </row>
    <row r="2432" spans="1:5" x14ac:dyDescent="0.25">
      <c r="A2432" s="421" t="s">
        <v>712</v>
      </c>
      <c r="B2432" s="415">
        <f>VLOOKUP(B2408,'BANG LUONG 1'!$B$5:$AJ$56,32,0)</f>
        <v>0</v>
      </c>
      <c r="C2432" s="421"/>
      <c r="D2432" s="41"/>
    </row>
    <row r="2433" spans="1:5" x14ac:dyDescent="0.25">
      <c r="A2433" s="421" t="s">
        <v>713</v>
      </c>
      <c r="B2433" s="415">
        <f>VLOOKUP(B2408,'BANG LUONG 1'!$B$5:$AJ$56,33,0)</f>
        <v>0</v>
      </c>
      <c r="C2433" s="421"/>
      <c r="D2433" s="41"/>
    </row>
    <row r="2434" spans="1:5" x14ac:dyDescent="0.25">
      <c r="A2434" s="183" t="s">
        <v>707</v>
      </c>
      <c r="B2434" s="415">
        <f>VLOOKUP(B2408,'BANG LUONG 1'!$B$5:$AJ$56,34,0)</f>
        <v>0</v>
      </c>
      <c r="C2434" s="421"/>
      <c r="D2434" s="41"/>
      <c r="E2434" s="108" t="str">
        <f>B2409</f>
        <v>Ngô Đình Chung</v>
      </c>
    </row>
    <row r="2435" spans="1:5" x14ac:dyDescent="0.25">
      <c r="A2435" s="183" t="s">
        <v>546</v>
      </c>
      <c r="B2435" s="415">
        <f>VLOOKUP(B2408,'BANG LUONG 1'!$B$5:$AJ$56,35,0)</f>
        <v>3028000</v>
      </c>
      <c r="C2435" s="421"/>
      <c r="D2435" s="41"/>
    </row>
    <row r="2436" spans="1:5" x14ac:dyDescent="0.25">
      <c r="A2436" s="183"/>
      <c r="B2436" s="412"/>
      <c r="C2436" s="421">
        <v>27</v>
      </c>
      <c r="D2436" s="185"/>
    </row>
    <row r="2437" spans="1:5" x14ac:dyDescent="0.25">
      <c r="A2437" s="184" t="s">
        <v>549</v>
      </c>
      <c r="B2437" s="424">
        <f>'BANG LUONG 1'!$P$3</f>
        <v>43733</v>
      </c>
    </row>
    <row r="2438" spans="1:5" x14ac:dyDescent="0.25">
      <c r="A2438" s="183" t="s">
        <v>1</v>
      </c>
      <c r="B2438" s="185" t="s">
        <v>159</v>
      </c>
      <c r="C2438" s="421">
        <v>1</v>
      </c>
      <c r="D2438" s="41"/>
    </row>
    <row r="2439" spans="1:5" x14ac:dyDescent="0.25">
      <c r="A2439" s="183" t="s">
        <v>2</v>
      </c>
      <c r="B2439" s="185" t="str">
        <f>VLOOKUP($B2438,'BANG LUONG 1'!$B$6:$AB$51,C2439,0)</f>
        <v>Ngô Đình Chung</v>
      </c>
      <c r="C2439" s="421">
        <v>2</v>
      </c>
      <c r="D2439" s="41"/>
    </row>
    <row r="2440" spans="1:5" x14ac:dyDescent="0.25">
      <c r="A2440" s="421" t="s">
        <v>3</v>
      </c>
      <c r="B2440" s="41" t="e">
        <f>VLOOKUP($B2438,'BANG LUONG 1'!$B$6:$AJ$48,C2440,0)</f>
        <v>#N/A</v>
      </c>
      <c r="C2440" s="421">
        <v>3</v>
      </c>
      <c r="D2440" s="41"/>
    </row>
    <row r="2441" spans="1:5" x14ac:dyDescent="0.25">
      <c r="A2441" s="421" t="s">
        <v>376</v>
      </c>
      <c r="B2441" s="410">
        <f>VLOOKUP($B2438,'BANG LUONG 1'!$B$5:$AJ$56,4,0)</f>
        <v>42086</v>
      </c>
      <c r="C2441" s="421">
        <v>4</v>
      </c>
      <c r="D2441" s="41"/>
    </row>
    <row r="2442" spans="1:5" x14ac:dyDescent="0.25">
      <c r="A2442" s="421" t="s">
        <v>698</v>
      </c>
      <c r="B2442" s="411">
        <f>VLOOKUP(B2438,'BANG LUONG 1'!$B$5:$AJ$56,6,0)</f>
        <v>0.04</v>
      </c>
      <c r="C2442" s="421">
        <v>5</v>
      </c>
      <c r="D2442" s="41"/>
    </row>
    <row r="2443" spans="1:5" x14ac:dyDescent="0.25">
      <c r="A2443" s="421" t="s">
        <v>229</v>
      </c>
      <c r="B2443" s="412">
        <f>'thang luong moi'!$F$5</f>
        <v>4012500</v>
      </c>
      <c r="C2443" s="421">
        <v>6</v>
      </c>
      <c r="D2443" s="41"/>
    </row>
    <row r="2444" spans="1:5" x14ac:dyDescent="0.25">
      <c r="A2444" s="421" t="s">
        <v>217</v>
      </c>
      <c r="B2444" s="412" t="str">
        <f>VLOOKUP(B2438,'BANG LUONG 1'!$B$5:$AJ$56,8,0)</f>
        <v>B.01</v>
      </c>
      <c r="C2444" s="421">
        <v>7</v>
      </c>
      <c r="D2444" s="41"/>
    </row>
    <row r="2445" spans="1:5" x14ac:dyDescent="0.25">
      <c r="A2445" s="421" t="s">
        <v>230</v>
      </c>
      <c r="B2445" s="412">
        <f>VLOOKUP(B2438,'BANG LUONG 1'!$B$5:$AJ$56,9,0)</f>
        <v>1</v>
      </c>
      <c r="C2445" s="421">
        <v>8</v>
      </c>
      <c r="D2445" s="41"/>
    </row>
    <row r="2446" spans="1:5" x14ac:dyDescent="0.25">
      <c r="A2446" s="421" t="s">
        <v>538</v>
      </c>
      <c r="B2446" s="412">
        <f>VLOOKUP(B2438,'BANG LUONG 1'!$B$5:$AJ$56,11,0)</f>
        <v>4381650</v>
      </c>
      <c r="C2446" s="421">
        <v>9</v>
      </c>
      <c r="D2446" s="41"/>
    </row>
    <row r="2447" spans="1:5" x14ac:dyDescent="0.25">
      <c r="A2447" s="421" t="s">
        <v>354</v>
      </c>
      <c r="B2447" s="412">
        <f>VLOOKUP(B2438,'BANG LUONG 1'!$B$5:$AJ$56,12,0)</f>
        <v>23</v>
      </c>
      <c r="C2447" s="421">
        <v>10</v>
      </c>
      <c r="D2447" s="41"/>
    </row>
    <row r="2448" spans="1:5" x14ac:dyDescent="0.25">
      <c r="A2448" s="421" t="s">
        <v>534</v>
      </c>
      <c r="B2448" s="412">
        <f>VLOOKUP(B2438,'BANG LUONG 1'!$B$5:$AJ$56,13,0)</f>
        <v>3876075</v>
      </c>
      <c r="C2448" s="421">
        <v>11</v>
      </c>
      <c r="D2448" s="41"/>
    </row>
    <row r="2449" spans="1:5" x14ac:dyDescent="0.25">
      <c r="A2449" s="421" t="s">
        <v>592</v>
      </c>
      <c r="B2449" s="412">
        <f>VLOOKUP(B2438,'BANG LUONG 1'!$B$5:$AJ$56,14,0)</f>
        <v>0</v>
      </c>
      <c r="C2449" s="421">
        <v>12</v>
      </c>
      <c r="D2449" s="41">
        <f>B2446/26*B2449</f>
        <v>0</v>
      </c>
    </row>
    <row r="2450" spans="1:5" x14ac:dyDescent="0.25">
      <c r="A2450" s="421" t="s">
        <v>357</v>
      </c>
      <c r="B2450" s="412">
        <f>VLOOKUP(B2438,'BANG LUONG 1'!$B$5:$AJ$56,15,0)</f>
        <v>0</v>
      </c>
      <c r="C2450" s="421">
        <v>13</v>
      </c>
      <c r="D2450" s="41">
        <f>B2446/26/8*1.5*B2450</f>
        <v>0</v>
      </c>
    </row>
    <row r="2451" spans="1:5" x14ac:dyDescent="0.25">
      <c r="A2451" s="421" t="s">
        <v>387</v>
      </c>
      <c r="B2451" s="412">
        <f>VLOOKUP(B2438,'BANG LUONG 1'!$B$5:$AJ$56,16,0)</f>
        <v>0</v>
      </c>
      <c r="C2451" s="421">
        <v>14</v>
      </c>
      <c r="D2451" s="41">
        <f>B2446/26/8*2*B2451</f>
        <v>0</v>
      </c>
    </row>
    <row r="2452" spans="1:5" x14ac:dyDescent="0.25">
      <c r="A2452" s="421" t="s">
        <v>593</v>
      </c>
      <c r="B2452" s="412">
        <f>VLOOKUP(B2438,'BANG LUONG 1'!$B$5:$AJ$56,17,0)</f>
        <v>1</v>
      </c>
      <c r="C2452" s="421"/>
      <c r="D2452" s="41">
        <f>(B2446/26)*B2452</f>
        <v>168525</v>
      </c>
    </row>
    <row r="2453" spans="1:5" x14ac:dyDescent="0.25">
      <c r="A2453" s="421" t="s">
        <v>388</v>
      </c>
      <c r="B2453" s="412">
        <f>VLOOKUP(B2438,'BANG LUONG 1'!$B$5:$AJ$56,18,0)</f>
        <v>0</v>
      </c>
      <c r="C2453" s="421">
        <v>15</v>
      </c>
      <c r="D2453" s="41">
        <f>(B2446/26*B2453)*3</f>
        <v>0</v>
      </c>
    </row>
    <row r="2454" spans="1:5" x14ac:dyDescent="0.25">
      <c r="A2454" s="421" t="s">
        <v>533</v>
      </c>
      <c r="B2454" s="412">
        <f>VLOOKUP(B2438,'BANG LUONG 1'!$B$5:$AJ$56,19,0)</f>
        <v>4752292.307692308</v>
      </c>
      <c r="C2454" s="183">
        <v>16</v>
      </c>
      <c r="D2454" s="185">
        <f>B2448+D2450+D2451+D2449+D2453+D2452</f>
        <v>4044600</v>
      </c>
      <c r="E2454" s="108"/>
    </row>
    <row r="2455" spans="1:5" x14ac:dyDescent="0.25">
      <c r="A2455" s="421" t="s">
        <v>535</v>
      </c>
      <c r="B2455" s="412">
        <f>VLOOKUP(B2438,'BANG LUONG 1'!$B$5:$AJ$56,20,0)</f>
        <v>0</v>
      </c>
      <c r="C2455" s="421">
        <v>17</v>
      </c>
      <c r="D2455" s="41"/>
    </row>
    <row r="2456" spans="1:5" x14ac:dyDescent="0.25">
      <c r="A2456" s="421" t="s">
        <v>370</v>
      </c>
      <c r="B2456" s="412">
        <f>VLOOKUP(B2438,'BANG LUONG 1'!$B$5:$AJ$56,22,0)</f>
        <v>175266</v>
      </c>
      <c r="C2456" s="421">
        <v>18</v>
      </c>
      <c r="D2456" s="41"/>
    </row>
    <row r="2457" spans="1:5" x14ac:dyDescent="0.25">
      <c r="A2457" s="421" t="s">
        <v>371</v>
      </c>
      <c r="B2457" s="412">
        <f>VLOOKUP(B2438,'BANG LUONG 1'!$B$5:$AJ$56,23,0)</f>
        <v>0</v>
      </c>
      <c r="C2457" s="421">
        <v>19</v>
      </c>
      <c r="D2457" s="41"/>
    </row>
    <row r="2458" spans="1:5" x14ac:dyDescent="0.25">
      <c r="A2458" s="421" t="s">
        <v>560</v>
      </c>
      <c r="B2458" s="412">
        <f>VLOOKUP(B2438,'BANG LUONG 1'!$B$5:$AJ$56,24,0)</f>
        <v>800000</v>
      </c>
      <c r="C2458" s="421">
        <v>22</v>
      </c>
      <c r="D2458" s="41"/>
    </row>
    <row r="2459" spans="1:5" x14ac:dyDescent="0.25">
      <c r="A2459" s="183" t="s">
        <v>237</v>
      </c>
      <c r="B2459" s="415">
        <f>VLOOKUP(B2438,'BANG LUONG 1'!$B$5:$AJ$56,26,0)</f>
        <v>4927558.307692308</v>
      </c>
      <c r="C2459" s="421">
        <v>24</v>
      </c>
      <c r="D2459" s="41"/>
    </row>
    <row r="2460" spans="1:5" x14ac:dyDescent="0.25">
      <c r="A2460" s="421" t="s">
        <v>545</v>
      </c>
      <c r="B2460" s="412">
        <f>VLOOKUP(B2438,'BANG LUONG 1'!$B$5:$AJ$56,27,0)</f>
        <v>2000000</v>
      </c>
      <c r="C2460" s="421">
        <v>25</v>
      </c>
      <c r="D2460" s="41"/>
    </row>
    <row r="2461" spans="1:5" x14ac:dyDescent="0.25">
      <c r="A2461" s="421" t="s">
        <v>544</v>
      </c>
      <c r="B2461" s="412">
        <f>VLOOKUP(B2438,'BANG LUONG 1'!$B$5:$AJ$56,28,0)</f>
        <v>0</v>
      </c>
      <c r="C2461" s="421">
        <v>26</v>
      </c>
      <c r="D2461" s="41"/>
    </row>
    <row r="2462" spans="1:5" x14ac:dyDescent="0.25">
      <c r="A2462" s="421" t="s">
        <v>712</v>
      </c>
      <c r="B2462" s="415">
        <f>VLOOKUP(B2438,'BANG LUONG 1'!$B$5:$AJ$56,32,0)</f>
        <v>0</v>
      </c>
      <c r="C2462" s="421"/>
      <c r="D2462" s="41"/>
    </row>
    <row r="2463" spans="1:5" x14ac:dyDescent="0.25">
      <c r="A2463" s="421" t="s">
        <v>713</v>
      </c>
      <c r="B2463" s="415">
        <f>VLOOKUP(B2438,'BANG LUONG 1'!$B$5:$AJ$56,33,0)</f>
        <v>0</v>
      </c>
      <c r="C2463" s="421"/>
      <c r="D2463" s="41"/>
    </row>
    <row r="2464" spans="1:5" x14ac:dyDescent="0.25">
      <c r="A2464" s="183" t="s">
        <v>707</v>
      </c>
      <c r="B2464" s="415">
        <f>VLOOKUP(B2438,'BANG LUONG 1'!$B$5:$AJ$56,34,0)</f>
        <v>0</v>
      </c>
      <c r="C2464" s="421"/>
      <c r="D2464" s="41"/>
      <c r="E2464" s="108" t="str">
        <f>B2439</f>
        <v>Ngô Đình Chung</v>
      </c>
    </row>
    <row r="2465" spans="1:4" x14ac:dyDescent="0.25">
      <c r="A2465" s="183" t="s">
        <v>546</v>
      </c>
      <c r="B2465" s="415">
        <f>VLOOKUP(B2438,'BANG LUONG 1'!$B$5:$AJ$56,35,0)</f>
        <v>3028000</v>
      </c>
      <c r="C2465" s="421"/>
      <c r="D2465" s="41"/>
    </row>
    <row r="2466" spans="1:4" x14ac:dyDescent="0.25">
      <c r="A2466" s="183"/>
      <c r="B2466" s="412"/>
      <c r="C2466" s="421">
        <v>27</v>
      </c>
      <c r="D2466" s="185"/>
    </row>
    <row r="2467" spans="1:4" x14ac:dyDescent="0.25">
      <c r="A2467" s="184" t="s">
        <v>549</v>
      </c>
      <c r="B2467" s="424">
        <f>'BANG LUONG 1'!$P$3</f>
        <v>43733</v>
      </c>
    </row>
    <row r="2468" spans="1:4" x14ac:dyDescent="0.25">
      <c r="A2468" s="183" t="s">
        <v>1</v>
      </c>
      <c r="B2468" s="185" t="s">
        <v>160</v>
      </c>
      <c r="C2468" s="421">
        <v>1</v>
      </c>
      <c r="D2468" s="41"/>
    </row>
    <row r="2469" spans="1:4" x14ac:dyDescent="0.25">
      <c r="A2469" s="183" t="s">
        <v>2</v>
      </c>
      <c r="B2469" s="185" t="e">
        <f>VLOOKUP($B2468,'BANG LUONG 1'!$B$6:$AB$26,C2469,0)</f>
        <v>#N/A</v>
      </c>
      <c r="C2469" s="421">
        <v>2</v>
      </c>
      <c r="D2469" s="41"/>
    </row>
    <row r="2470" spans="1:4" x14ac:dyDescent="0.25">
      <c r="A2470" s="421" t="s">
        <v>3</v>
      </c>
      <c r="B2470" s="41" t="e">
        <f>VLOOKUP($B2468,'BANG LUONG 1'!$B$6:$AJ$48,C2470,0)</f>
        <v>#N/A</v>
      </c>
      <c r="C2470" s="421">
        <v>3</v>
      </c>
      <c r="D2470" s="41"/>
    </row>
    <row r="2471" spans="1:4" x14ac:dyDescent="0.25">
      <c r="A2471" s="421" t="s">
        <v>376</v>
      </c>
      <c r="B2471" s="410">
        <f>VLOOKUP($B2468,'BANG LUONG 1'!$B$5:$AJ$56,4,0)</f>
        <v>41706</v>
      </c>
      <c r="C2471" s="421">
        <v>4</v>
      </c>
      <c r="D2471" s="41"/>
    </row>
    <row r="2472" spans="1:4" x14ac:dyDescent="0.25">
      <c r="A2472" s="421" t="s">
        <v>698</v>
      </c>
      <c r="B2472" s="411">
        <f>VLOOKUP(B2468,'BANG LUONG 1'!$B$5:$AJ$56,6,0)</f>
        <v>0.05</v>
      </c>
      <c r="C2472" s="421">
        <v>5</v>
      </c>
      <c r="D2472" s="41"/>
    </row>
    <row r="2473" spans="1:4" x14ac:dyDescent="0.25">
      <c r="A2473" s="421" t="s">
        <v>229</v>
      </c>
      <c r="B2473" s="412">
        <f>'thang luong moi'!$F$5</f>
        <v>4012500</v>
      </c>
      <c r="C2473" s="421">
        <v>6</v>
      </c>
      <c r="D2473" s="41"/>
    </row>
    <row r="2474" spans="1:4" x14ac:dyDescent="0.25">
      <c r="A2474" s="421" t="s">
        <v>217</v>
      </c>
      <c r="B2474" s="412" t="str">
        <f>VLOOKUP(B2468,'BANG LUONG 1'!$B$5:$AJ$56,8,0)</f>
        <v>B.05</v>
      </c>
      <c r="C2474" s="421">
        <v>7</v>
      </c>
      <c r="D2474" s="41"/>
    </row>
    <row r="2475" spans="1:4" x14ac:dyDescent="0.25">
      <c r="A2475" s="421" t="s">
        <v>230</v>
      </c>
      <c r="B2475" s="412">
        <f>VLOOKUP(B2468,'BANG LUONG 1'!$B$5:$AJ$56,9,0)</f>
        <v>1</v>
      </c>
      <c r="C2475" s="421">
        <v>8</v>
      </c>
      <c r="D2475" s="41"/>
    </row>
    <row r="2476" spans="1:4" x14ac:dyDescent="0.25">
      <c r="A2476" s="421" t="s">
        <v>538</v>
      </c>
      <c r="B2476" s="412">
        <f>VLOOKUP(B2468,'BANG LUONG 1'!$B$5:$AJ$56,11,0)</f>
        <v>4213125</v>
      </c>
      <c r="C2476" s="421">
        <v>9</v>
      </c>
      <c r="D2476" s="41"/>
    </row>
    <row r="2477" spans="1:4" x14ac:dyDescent="0.25">
      <c r="A2477" s="421" t="s">
        <v>354</v>
      </c>
      <c r="B2477" s="412">
        <f>VLOOKUP(B2468,'BANG LUONG 1'!$B$5:$AJ$56,12,0)</f>
        <v>24</v>
      </c>
      <c r="C2477" s="421">
        <v>10</v>
      </c>
      <c r="D2477" s="41"/>
    </row>
    <row r="2478" spans="1:4" x14ac:dyDescent="0.25">
      <c r="A2478" s="421" t="s">
        <v>534</v>
      </c>
      <c r="B2478" s="412">
        <f>VLOOKUP(B2468,'BANG LUONG 1'!$B$5:$AJ$56,13,0)</f>
        <v>3889038.461538461</v>
      </c>
      <c r="C2478" s="421">
        <v>11</v>
      </c>
      <c r="D2478" s="41"/>
    </row>
    <row r="2479" spans="1:4" x14ac:dyDescent="0.25">
      <c r="A2479" s="421" t="s">
        <v>592</v>
      </c>
      <c r="B2479" s="412">
        <f>VLOOKUP(B2468,'BANG LUONG 1'!$B$5:$AJ$56,14,0)</f>
        <v>2</v>
      </c>
      <c r="C2479" s="421">
        <v>12</v>
      </c>
      <c r="D2479" s="41">
        <f>B2476/26*B2479</f>
        <v>324086.53846153844</v>
      </c>
    </row>
    <row r="2480" spans="1:4" x14ac:dyDescent="0.25">
      <c r="A2480" s="421" t="s">
        <v>357</v>
      </c>
      <c r="B2480" s="412">
        <f>VLOOKUP(B2468,'BANG LUONG 1'!$B$5:$AJ$56,15,0)</f>
        <v>0</v>
      </c>
      <c r="C2480" s="421">
        <v>13</v>
      </c>
      <c r="D2480" s="41">
        <f>B2476/26/8*1.5*B2480</f>
        <v>0</v>
      </c>
    </row>
    <row r="2481" spans="1:5" x14ac:dyDescent="0.25">
      <c r="A2481" s="421" t="s">
        <v>387</v>
      </c>
      <c r="B2481" s="412">
        <f>VLOOKUP(B2468,'BANG LUONG 1'!$B$5:$AJ$56,16,0)</f>
        <v>16</v>
      </c>
      <c r="C2481" s="421">
        <v>14</v>
      </c>
      <c r="D2481" s="41">
        <f>B2476/26/8*2*B2481</f>
        <v>648173.07692307688</v>
      </c>
    </row>
    <row r="2482" spans="1:5" x14ac:dyDescent="0.25">
      <c r="A2482" s="421" t="s">
        <v>593</v>
      </c>
      <c r="B2482" s="412">
        <f>VLOOKUP(B2468,'BANG LUONG 1'!$B$5:$AJ$56,17,0)</f>
        <v>1</v>
      </c>
      <c r="C2482" s="421"/>
      <c r="D2482" s="41">
        <f>(B2476/26)*B2482</f>
        <v>162043.26923076922</v>
      </c>
    </row>
    <row r="2483" spans="1:5" x14ac:dyDescent="0.25">
      <c r="A2483" s="421" t="s">
        <v>388</v>
      </c>
      <c r="B2483" s="412">
        <f>VLOOKUP(B2468,'BANG LUONG 1'!$B$5:$AJ$56,18,0)</f>
        <v>0</v>
      </c>
      <c r="C2483" s="421">
        <v>15</v>
      </c>
      <c r="D2483" s="41">
        <f>(B2476/26*B2483)*3</f>
        <v>0</v>
      </c>
    </row>
    <row r="2484" spans="1:5" x14ac:dyDescent="0.25">
      <c r="A2484" s="421" t="s">
        <v>533</v>
      </c>
      <c r="B2484" s="412">
        <f>VLOOKUP(B2468,'BANG LUONG 1'!$B$5:$AJ$56,19,0)</f>
        <v>5023341.3461538451</v>
      </c>
      <c r="C2484" s="183">
        <v>16</v>
      </c>
      <c r="D2484" s="185">
        <f>B2478+D2480+D2481+D2479+D2483+D2482</f>
        <v>5023341.3461538451</v>
      </c>
      <c r="E2484" s="108"/>
    </row>
    <row r="2485" spans="1:5" x14ac:dyDescent="0.25">
      <c r="A2485" s="421" t="s">
        <v>535</v>
      </c>
      <c r="B2485" s="412">
        <f>VLOOKUP(B2468,'BANG LUONG 1'!$B$5:$AJ$56,20,0)</f>
        <v>810961.53846153896</v>
      </c>
      <c r="C2485" s="421">
        <v>17</v>
      </c>
      <c r="D2485" s="41"/>
    </row>
    <row r="2486" spans="1:5" x14ac:dyDescent="0.25">
      <c r="A2486" s="421" t="s">
        <v>370</v>
      </c>
      <c r="B2486" s="412">
        <f>VLOOKUP(B2468,'BANG LUONG 1'!$B$5:$AJ$56,22,0)</f>
        <v>210656.25</v>
      </c>
      <c r="C2486" s="421">
        <v>18</v>
      </c>
      <c r="D2486" s="41"/>
    </row>
    <row r="2487" spans="1:5" x14ac:dyDescent="0.25">
      <c r="A2487" s="421" t="s">
        <v>371</v>
      </c>
      <c r="B2487" s="412">
        <f>VLOOKUP(B2468,'BANG LUONG 1'!$B$5:$AJ$56,23,0)</f>
        <v>300000</v>
      </c>
      <c r="C2487" s="421">
        <v>19</v>
      </c>
      <c r="D2487" s="41"/>
    </row>
    <row r="2488" spans="1:5" x14ac:dyDescent="0.25">
      <c r="A2488" s="421" t="s">
        <v>560</v>
      </c>
      <c r="B2488" s="412">
        <f>VLOOKUP(B2468,'BANG LUONG 1'!$B$5:$AJ$56,24,0)</f>
        <v>0</v>
      </c>
      <c r="C2488" s="421">
        <v>22</v>
      </c>
      <c r="D2488" s="41"/>
    </row>
    <row r="2489" spans="1:5" x14ac:dyDescent="0.25">
      <c r="A2489" s="183" t="s">
        <v>237</v>
      </c>
      <c r="B2489" s="415">
        <f>VLOOKUP(B2468,'BANG LUONG 1'!$B$5:$AJ$56,26,0)</f>
        <v>6344959.134615384</v>
      </c>
      <c r="C2489" s="421">
        <v>24</v>
      </c>
      <c r="D2489" s="41"/>
    </row>
    <row r="2490" spans="1:5" x14ac:dyDescent="0.25">
      <c r="A2490" s="421" t="s">
        <v>545</v>
      </c>
      <c r="B2490" s="412">
        <f>VLOOKUP(B2468,'BANG LUONG 1'!$B$5:$AJ$56,27,0)</f>
        <v>3000000</v>
      </c>
      <c r="C2490" s="421">
        <v>25</v>
      </c>
      <c r="D2490" s="41"/>
    </row>
    <row r="2491" spans="1:5" x14ac:dyDescent="0.25">
      <c r="A2491" s="421" t="s">
        <v>544</v>
      </c>
      <c r="B2491" s="412">
        <f>VLOOKUP(B2468,'BANG LUONG 1'!$B$5:$AJ$56,28,0)</f>
        <v>480585</v>
      </c>
      <c r="C2491" s="421">
        <v>26</v>
      </c>
      <c r="D2491" s="41"/>
    </row>
    <row r="2492" spans="1:5" x14ac:dyDescent="0.25">
      <c r="A2492" s="421" t="s">
        <v>712</v>
      </c>
      <c r="B2492" s="415">
        <f>VLOOKUP(B2468,'BANG LUONG 1'!$B$5:$AJ$56,32,0)</f>
        <v>0</v>
      </c>
      <c r="C2492" s="421"/>
      <c r="D2492" s="41"/>
    </row>
    <row r="2493" spans="1:5" x14ac:dyDescent="0.25">
      <c r="A2493" s="421" t="s">
        <v>713</v>
      </c>
      <c r="B2493" s="415">
        <f>VLOOKUP(B2468,'BANG LUONG 1'!$B$5:$AJ$56,33,0)</f>
        <v>0</v>
      </c>
      <c r="C2493" s="421"/>
      <c r="D2493" s="41"/>
    </row>
    <row r="2494" spans="1:5" x14ac:dyDescent="0.25">
      <c r="A2494" s="183" t="s">
        <v>707</v>
      </c>
      <c r="B2494" s="415">
        <f>VLOOKUP(B2468,'BANG LUONG 1'!$B$5:$AJ$56,34,0)</f>
        <v>0</v>
      </c>
      <c r="C2494" s="421"/>
      <c r="D2494" s="41"/>
      <c r="E2494" s="108" t="e">
        <f>B2469</f>
        <v>#N/A</v>
      </c>
    </row>
    <row r="2495" spans="1:5" x14ac:dyDescent="0.25">
      <c r="A2495" s="183" t="s">
        <v>546</v>
      </c>
      <c r="B2495" s="415">
        <f>VLOOKUP(B2468,'BANG LUONG 1'!$B$5:$AJ$56,35,0)</f>
        <v>2964000</v>
      </c>
      <c r="C2495" s="421"/>
      <c r="D2495" s="41"/>
    </row>
    <row r="2496" spans="1:5" x14ac:dyDescent="0.25">
      <c r="A2496" s="183"/>
      <c r="B2496" s="412"/>
      <c r="C2496" s="421">
        <v>27</v>
      </c>
      <c r="D2496" s="185"/>
    </row>
    <row r="2497" spans="1:4" x14ac:dyDescent="0.25">
      <c r="A2497" s="184" t="s">
        <v>549</v>
      </c>
      <c r="B2497" s="424">
        <f>'BANG LUONG 1'!$P$3</f>
        <v>43733</v>
      </c>
    </row>
    <row r="2498" spans="1:4" x14ac:dyDescent="0.25">
      <c r="A2498" s="183" t="s">
        <v>1</v>
      </c>
      <c r="B2498" s="185" t="s">
        <v>160</v>
      </c>
      <c r="C2498" s="421">
        <v>1</v>
      </c>
      <c r="D2498" s="41"/>
    </row>
    <row r="2499" spans="1:4" x14ac:dyDescent="0.25">
      <c r="A2499" s="183" t="s">
        <v>2</v>
      </c>
      <c r="B2499" s="185" t="e">
        <f>VLOOKUP($B2498,'BANG LUONG 1'!$B$6:$AB$26,C2499,0)</f>
        <v>#N/A</v>
      </c>
      <c r="C2499" s="421">
        <v>2</v>
      </c>
      <c r="D2499" s="41"/>
    </row>
    <row r="2500" spans="1:4" x14ac:dyDescent="0.25">
      <c r="A2500" s="421" t="s">
        <v>3</v>
      </c>
      <c r="B2500" s="41" t="e">
        <f>VLOOKUP($B2498,'BANG LUONG 1'!$B$6:$AJ$48,C2500,0)</f>
        <v>#N/A</v>
      </c>
      <c r="C2500" s="421">
        <v>3</v>
      </c>
      <c r="D2500" s="41"/>
    </row>
    <row r="2501" spans="1:4" x14ac:dyDescent="0.25">
      <c r="A2501" s="421" t="s">
        <v>376</v>
      </c>
      <c r="B2501" s="410">
        <f>VLOOKUP($B2498,'BANG LUONG 1'!$B$5:$AJ$56,4,0)</f>
        <v>41706</v>
      </c>
      <c r="C2501" s="421">
        <v>4</v>
      </c>
      <c r="D2501" s="41"/>
    </row>
    <row r="2502" spans="1:4" x14ac:dyDescent="0.25">
      <c r="A2502" s="421" t="s">
        <v>698</v>
      </c>
      <c r="B2502" s="411">
        <f>VLOOKUP(B2498,'BANG LUONG 1'!$B$5:$AJ$56,6,0)</f>
        <v>0.05</v>
      </c>
      <c r="C2502" s="421">
        <v>5</v>
      </c>
      <c r="D2502" s="41"/>
    </row>
    <row r="2503" spans="1:4" x14ac:dyDescent="0.25">
      <c r="A2503" s="421" t="s">
        <v>229</v>
      </c>
      <c r="B2503" s="412">
        <f>'thang luong moi'!$F$5</f>
        <v>4012500</v>
      </c>
      <c r="C2503" s="421">
        <v>6</v>
      </c>
      <c r="D2503" s="41"/>
    </row>
    <row r="2504" spans="1:4" x14ac:dyDescent="0.25">
      <c r="A2504" s="421" t="s">
        <v>217</v>
      </c>
      <c r="B2504" s="412" t="str">
        <f>VLOOKUP(B2498,'BANG LUONG 1'!$B$5:$AJ$56,8,0)</f>
        <v>B.05</v>
      </c>
      <c r="C2504" s="421">
        <v>7</v>
      </c>
      <c r="D2504" s="41"/>
    </row>
    <row r="2505" spans="1:4" x14ac:dyDescent="0.25">
      <c r="A2505" s="421" t="s">
        <v>230</v>
      </c>
      <c r="B2505" s="412">
        <f>VLOOKUP(B2498,'BANG LUONG 1'!$B$5:$AJ$56,9,0)</f>
        <v>1</v>
      </c>
      <c r="C2505" s="421">
        <v>8</v>
      </c>
      <c r="D2505" s="41"/>
    </row>
    <row r="2506" spans="1:4" x14ac:dyDescent="0.25">
      <c r="A2506" s="421" t="s">
        <v>538</v>
      </c>
      <c r="B2506" s="412">
        <f>VLOOKUP(B2498,'BANG LUONG 1'!$B$5:$AJ$56,11,0)</f>
        <v>4213125</v>
      </c>
      <c r="C2506" s="421">
        <v>9</v>
      </c>
      <c r="D2506" s="41"/>
    </row>
    <row r="2507" spans="1:4" x14ac:dyDescent="0.25">
      <c r="A2507" s="421" t="s">
        <v>354</v>
      </c>
      <c r="B2507" s="412">
        <f>VLOOKUP(B2498,'BANG LUONG 1'!$B$5:$AJ$56,12,0)</f>
        <v>24</v>
      </c>
      <c r="C2507" s="421">
        <v>10</v>
      </c>
      <c r="D2507" s="41"/>
    </row>
    <row r="2508" spans="1:4" x14ac:dyDescent="0.25">
      <c r="A2508" s="421" t="s">
        <v>534</v>
      </c>
      <c r="B2508" s="412">
        <f>VLOOKUP(B2498,'BANG LUONG 1'!$B$5:$AJ$56,13,0)</f>
        <v>3889038.461538461</v>
      </c>
      <c r="C2508" s="421">
        <v>11</v>
      </c>
      <c r="D2508" s="41"/>
    </row>
    <row r="2509" spans="1:4" x14ac:dyDescent="0.25">
      <c r="A2509" s="421" t="s">
        <v>592</v>
      </c>
      <c r="B2509" s="412">
        <f>VLOOKUP(B2498,'BANG LUONG 1'!$B$5:$AJ$56,14,0)</f>
        <v>2</v>
      </c>
      <c r="C2509" s="421">
        <v>12</v>
      </c>
      <c r="D2509" s="41">
        <f>B2506/26*B2509</f>
        <v>324086.53846153844</v>
      </c>
    </row>
    <row r="2510" spans="1:4" x14ac:dyDescent="0.25">
      <c r="A2510" s="421" t="s">
        <v>357</v>
      </c>
      <c r="B2510" s="412">
        <f>VLOOKUP(B2498,'BANG LUONG 1'!$B$5:$AJ$56,15,0)</f>
        <v>0</v>
      </c>
      <c r="C2510" s="421">
        <v>13</v>
      </c>
      <c r="D2510" s="41">
        <f>B2506/26/8*1.5*B2510</f>
        <v>0</v>
      </c>
    </row>
    <row r="2511" spans="1:4" x14ac:dyDescent="0.25">
      <c r="A2511" s="421" t="s">
        <v>387</v>
      </c>
      <c r="B2511" s="412">
        <f>VLOOKUP(B2498,'BANG LUONG 1'!$B$5:$AJ$56,16,0)</f>
        <v>16</v>
      </c>
      <c r="C2511" s="421">
        <v>14</v>
      </c>
      <c r="D2511" s="41">
        <f>B2506/26/8*2*B2511</f>
        <v>648173.07692307688</v>
      </c>
    </row>
    <row r="2512" spans="1:4" x14ac:dyDescent="0.25">
      <c r="A2512" s="421" t="s">
        <v>593</v>
      </c>
      <c r="B2512" s="412">
        <f>VLOOKUP(B2498,'BANG LUONG 1'!$B$5:$AJ$56,17,0)</f>
        <v>1</v>
      </c>
      <c r="C2512" s="421"/>
      <c r="D2512" s="41">
        <f>(B2506/26)*B2512</f>
        <v>162043.26923076922</v>
      </c>
    </row>
    <row r="2513" spans="1:5" x14ac:dyDescent="0.25">
      <c r="A2513" s="421" t="s">
        <v>388</v>
      </c>
      <c r="B2513" s="412">
        <f>VLOOKUP(B2498,'BANG LUONG 1'!$B$5:$AJ$56,18,0)</f>
        <v>0</v>
      </c>
      <c r="C2513" s="421">
        <v>15</v>
      </c>
      <c r="D2513" s="41">
        <f>(B2506/26*B2513)*3</f>
        <v>0</v>
      </c>
    </row>
    <row r="2514" spans="1:5" x14ac:dyDescent="0.25">
      <c r="A2514" s="421" t="s">
        <v>533</v>
      </c>
      <c r="B2514" s="412">
        <f>VLOOKUP(B2498,'BANG LUONG 1'!$B$5:$AJ$56,19,0)</f>
        <v>5023341.3461538451</v>
      </c>
      <c r="C2514" s="183">
        <v>16</v>
      </c>
      <c r="D2514" s="185">
        <f>B2508+D2510+D2511+D2509+D2513+D2512</f>
        <v>5023341.3461538451</v>
      </c>
      <c r="E2514" s="108"/>
    </row>
    <row r="2515" spans="1:5" x14ac:dyDescent="0.25">
      <c r="A2515" s="421" t="s">
        <v>535</v>
      </c>
      <c r="B2515" s="412">
        <f>VLOOKUP(B2498,'BANG LUONG 1'!$B$5:$AJ$56,20,0)</f>
        <v>810961.53846153896</v>
      </c>
      <c r="C2515" s="421">
        <v>17</v>
      </c>
      <c r="D2515" s="41"/>
    </row>
    <row r="2516" spans="1:5" x14ac:dyDescent="0.25">
      <c r="A2516" s="421" t="s">
        <v>370</v>
      </c>
      <c r="B2516" s="412">
        <f>VLOOKUP(B2498,'BANG LUONG 1'!$B$5:$AJ$56,22,0)</f>
        <v>210656.25</v>
      </c>
      <c r="C2516" s="421">
        <v>18</v>
      </c>
      <c r="D2516" s="41"/>
    </row>
    <row r="2517" spans="1:5" x14ac:dyDescent="0.25">
      <c r="A2517" s="421" t="s">
        <v>371</v>
      </c>
      <c r="B2517" s="412">
        <f>VLOOKUP(B2498,'BANG LUONG 1'!$B$5:$AJ$56,23,0)</f>
        <v>300000</v>
      </c>
      <c r="C2517" s="421">
        <v>19</v>
      </c>
      <c r="D2517" s="41"/>
    </row>
    <row r="2518" spans="1:5" x14ac:dyDescent="0.25">
      <c r="A2518" s="421" t="s">
        <v>560</v>
      </c>
      <c r="B2518" s="412">
        <f>VLOOKUP(B2498,'BANG LUONG 1'!$B$5:$AJ$56,24,0)</f>
        <v>0</v>
      </c>
      <c r="C2518" s="421">
        <v>22</v>
      </c>
      <c r="D2518" s="41"/>
    </row>
    <row r="2519" spans="1:5" x14ac:dyDescent="0.25">
      <c r="A2519" s="183" t="s">
        <v>237</v>
      </c>
      <c r="B2519" s="415">
        <f>VLOOKUP(B2498,'BANG LUONG 1'!$B$5:$AJ$56,26,0)</f>
        <v>6344959.134615384</v>
      </c>
      <c r="C2519" s="421">
        <v>24</v>
      </c>
      <c r="D2519" s="41"/>
    </row>
    <row r="2520" spans="1:5" x14ac:dyDescent="0.25">
      <c r="A2520" s="421" t="s">
        <v>545</v>
      </c>
      <c r="B2520" s="412">
        <f>VLOOKUP(B2498,'BANG LUONG 1'!$B$5:$AJ$56,27,0)</f>
        <v>3000000</v>
      </c>
      <c r="C2520" s="421">
        <v>25</v>
      </c>
      <c r="D2520" s="41"/>
    </row>
    <row r="2521" spans="1:5" x14ac:dyDescent="0.25">
      <c r="A2521" s="421" t="s">
        <v>544</v>
      </c>
      <c r="B2521" s="412">
        <f>VLOOKUP(B2498,'BANG LUONG 1'!$B$5:$AJ$56,28,0)</f>
        <v>480585</v>
      </c>
      <c r="C2521" s="421">
        <v>26</v>
      </c>
      <c r="D2521" s="41"/>
    </row>
    <row r="2522" spans="1:5" x14ac:dyDescent="0.25">
      <c r="A2522" s="421" t="s">
        <v>712</v>
      </c>
      <c r="B2522" s="415">
        <f>VLOOKUP(B2498,'BANG LUONG 1'!$B$5:$AJ$56,32,0)</f>
        <v>0</v>
      </c>
      <c r="C2522" s="421"/>
      <c r="D2522" s="41"/>
    </row>
    <row r="2523" spans="1:5" x14ac:dyDescent="0.25">
      <c r="A2523" s="421" t="s">
        <v>713</v>
      </c>
      <c r="B2523" s="415">
        <f>VLOOKUP(B2498,'BANG LUONG 1'!$B$5:$AJ$56,33,0)</f>
        <v>0</v>
      </c>
      <c r="C2523" s="421"/>
      <c r="D2523" s="41"/>
    </row>
    <row r="2524" spans="1:5" x14ac:dyDescent="0.25">
      <c r="A2524" s="183" t="s">
        <v>707</v>
      </c>
      <c r="B2524" s="415">
        <f>VLOOKUP(B2498,'BANG LUONG 1'!$B$5:$AJ$56,34,0)</f>
        <v>0</v>
      </c>
      <c r="C2524" s="421"/>
      <c r="D2524" s="41"/>
      <c r="E2524" s="108" t="e">
        <f>B2499</f>
        <v>#N/A</v>
      </c>
    </row>
    <row r="2525" spans="1:5" x14ac:dyDescent="0.25">
      <c r="A2525" s="183" t="s">
        <v>546</v>
      </c>
      <c r="B2525" s="415">
        <f>VLOOKUP(B2498,'BANG LUONG 1'!$B$5:$AJ$56,35,0)</f>
        <v>2964000</v>
      </c>
      <c r="C2525" s="421"/>
      <c r="D2525" s="41"/>
    </row>
    <row r="2526" spans="1:5" x14ac:dyDescent="0.25">
      <c r="A2526" s="183"/>
      <c r="B2526" s="412"/>
      <c r="C2526" s="421">
        <v>27</v>
      </c>
      <c r="D2526" s="185"/>
    </row>
    <row r="2527" spans="1:5" x14ac:dyDescent="0.25">
      <c r="A2527" s="184" t="s">
        <v>549</v>
      </c>
      <c r="B2527" s="424">
        <f>'BANG LUONG 1'!$P$3</f>
        <v>43733</v>
      </c>
    </row>
    <row r="2528" spans="1:5" x14ac:dyDescent="0.25">
      <c r="A2528" s="183" t="s">
        <v>1</v>
      </c>
      <c r="B2528" s="185" t="s">
        <v>161</v>
      </c>
      <c r="C2528" s="421">
        <v>1</v>
      </c>
      <c r="D2528" s="41"/>
    </row>
    <row r="2529" spans="1:5" x14ac:dyDescent="0.25">
      <c r="A2529" s="183" t="s">
        <v>2</v>
      </c>
      <c r="B2529" s="185" t="e">
        <f>VLOOKUP($B2528,'BANG LUONG 1'!$B$6:$AB$26,C2529,0)</f>
        <v>#N/A</v>
      </c>
      <c r="C2529" s="421">
        <v>2</v>
      </c>
      <c r="D2529" s="41"/>
    </row>
    <row r="2530" spans="1:5" x14ac:dyDescent="0.25">
      <c r="A2530" s="421" t="s">
        <v>3</v>
      </c>
      <c r="B2530" s="41" t="e">
        <f>VLOOKUP($B2528,'BANG LUONG 1'!$B$6:$AJ$48,C2530,0)</f>
        <v>#N/A</v>
      </c>
      <c r="C2530" s="421">
        <v>3</v>
      </c>
      <c r="D2530" s="41"/>
    </row>
    <row r="2531" spans="1:5" x14ac:dyDescent="0.25">
      <c r="A2531" s="421" t="s">
        <v>376</v>
      </c>
      <c r="B2531" s="410">
        <f>VLOOKUP($B2528,'BANG LUONG 1'!$B$5:$AJ$56,4,0)</f>
        <v>42413</v>
      </c>
      <c r="C2531" s="421">
        <v>4</v>
      </c>
      <c r="D2531" s="41"/>
    </row>
    <row r="2532" spans="1:5" x14ac:dyDescent="0.25">
      <c r="A2532" s="421" t="s">
        <v>698</v>
      </c>
      <c r="B2532" s="411">
        <f>VLOOKUP(B2528,'BANG LUONG 1'!$B$5:$AJ$56,6,0)</f>
        <v>0.03</v>
      </c>
      <c r="C2532" s="421">
        <v>5</v>
      </c>
      <c r="D2532" s="41"/>
    </row>
    <row r="2533" spans="1:5" x14ac:dyDescent="0.25">
      <c r="A2533" s="421" t="s">
        <v>229</v>
      </c>
      <c r="B2533" s="412">
        <f>'thang luong moi'!$F$5</f>
        <v>4012500</v>
      </c>
      <c r="C2533" s="421">
        <v>6</v>
      </c>
      <c r="D2533" s="41"/>
    </row>
    <row r="2534" spans="1:5" x14ac:dyDescent="0.25">
      <c r="A2534" s="421" t="s">
        <v>217</v>
      </c>
      <c r="B2534" s="412" t="str">
        <f>VLOOKUP(B2528,'BANG LUONG 1'!$B$5:$AJ$56,8,0)</f>
        <v>B.05</v>
      </c>
      <c r="C2534" s="421">
        <v>7</v>
      </c>
      <c r="D2534" s="41"/>
    </row>
    <row r="2535" spans="1:5" x14ac:dyDescent="0.25">
      <c r="A2535" s="421" t="s">
        <v>230</v>
      </c>
      <c r="B2535" s="412">
        <f>VLOOKUP(B2528,'BANG LUONG 1'!$B$5:$AJ$56,9,0)</f>
        <v>1</v>
      </c>
      <c r="C2535" s="421">
        <v>8</v>
      </c>
      <c r="D2535" s="41"/>
    </row>
    <row r="2536" spans="1:5" x14ac:dyDescent="0.25">
      <c r="A2536" s="421" t="s">
        <v>538</v>
      </c>
      <c r="B2536" s="412">
        <f>VLOOKUP(B2528,'BANG LUONG 1'!$B$5:$AJ$56,11,0)</f>
        <v>4213125</v>
      </c>
      <c r="C2536" s="421">
        <v>9</v>
      </c>
      <c r="D2536" s="41"/>
    </row>
    <row r="2537" spans="1:5" x14ac:dyDescent="0.25">
      <c r="A2537" s="421" t="s">
        <v>354</v>
      </c>
      <c r="B2537" s="412">
        <f>VLOOKUP(B2528,'BANG LUONG 1'!$B$5:$AJ$56,12,0)</f>
        <v>26</v>
      </c>
      <c r="C2537" s="421">
        <v>10</v>
      </c>
      <c r="D2537" s="41"/>
    </row>
    <row r="2538" spans="1:5" x14ac:dyDescent="0.25">
      <c r="A2538" s="421" t="s">
        <v>534</v>
      </c>
      <c r="B2538" s="412">
        <f>VLOOKUP(B2528,'BANG LUONG 1'!$B$5:$AJ$56,13,0)</f>
        <v>4213125</v>
      </c>
      <c r="C2538" s="421">
        <v>11</v>
      </c>
      <c r="D2538" s="41"/>
    </row>
    <row r="2539" spans="1:5" x14ac:dyDescent="0.25">
      <c r="A2539" s="421" t="s">
        <v>592</v>
      </c>
      <c r="B2539" s="412">
        <f>VLOOKUP(B2528,'BANG LUONG 1'!$B$5:$AJ$56,14,0)</f>
        <v>0</v>
      </c>
      <c r="C2539" s="421">
        <v>12</v>
      </c>
      <c r="D2539" s="41">
        <f>B2536/26*B2539</f>
        <v>0</v>
      </c>
    </row>
    <row r="2540" spans="1:5" x14ac:dyDescent="0.25">
      <c r="A2540" s="421" t="s">
        <v>357</v>
      </c>
      <c r="B2540" s="412">
        <f>VLOOKUP(B2528,'BANG LUONG 1'!$B$5:$AJ$56,15,0)</f>
        <v>0</v>
      </c>
      <c r="C2540" s="421">
        <v>13</v>
      </c>
      <c r="D2540" s="41">
        <f>B2536/26/8*1.5*B2540</f>
        <v>0</v>
      </c>
    </row>
    <row r="2541" spans="1:5" x14ac:dyDescent="0.25">
      <c r="A2541" s="421" t="s">
        <v>387</v>
      </c>
      <c r="B2541" s="412">
        <f>VLOOKUP(B2528,'BANG LUONG 1'!$B$5:$AJ$56,16,0)</f>
        <v>20</v>
      </c>
      <c r="C2541" s="421">
        <v>14</v>
      </c>
      <c r="D2541" s="41">
        <f>B2536/26/8*2*B2541</f>
        <v>810216.34615384613</v>
      </c>
    </row>
    <row r="2542" spans="1:5" x14ac:dyDescent="0.25">
      <c r="A2542" s="421" t="s">
        <v>593</v>
      </c>
      <c r="B2542" s="412">
        <f>VLOOKUP(B2528,'BANG LUONG 1'!$B$5:$AJ$56,17,0)</f>
        <v>0</v>
      </c>
      <c r="C2542" s="421"/>
      <c r="D2542" s="41">
        <f>(B2536/26)*B2542</f>
        <v>0</v>
      </c>
    </row>
    <row r="2543" spans="1:5" x14ac:dyDescent="0.25">
      <c r="A2543" s="421" t="s">
        <v>388</v>
      </c>
      <c r="B2543" s="412">
        <f>VLOOKUP(B2528,'BANG LUONG 1'!$B$5:$AJ$56,18,0)</f>
        <v>1</v>
      </c>
      <c r="C2543" s="421">
        <v>15</v>
      </c>
      <c r="D2543" s="41">
        <f>(B2536/26*B2543)*3</f>
        <v>486129.80769230763</v>
      </c>
    </row>
    <row r="2544" spans="1:5" x14ac:dyDescent="0.25">
      <c r="A2544" s="421" t="s">
        <v>533</v>
      </c>
      <c r="B2544" s="412">
        <f>VLOOKUP(B2528,'BANG LUONG 1'!$B$5:$AJ$56,19,0)</f>
        <v>5509471.153846154</v>
      </c>
      <c r="C2544" s="183">
        <v>16</v>
      </c>
      <c r="D2544" s="185">
        <f>B2538+D2540+D2541+D2539+D2543+D2542</f>
        <v>5509471.153846154</v>
      </c>
      <c r="E2544" s="108"/>
    </row>
    <row r="2545" spans="1:5" x14ac:dyDescent="0.25">
      <c r="A2545" s="421" t="s">
        <v>535</v>
      </c>
      <c r="B2545" s="412">
        <f>VLOOKUP(B2528,'BANG LUONG 1'!$B$5:$AJ$56,20,0)</f>
        <v>1119567.307692308</v>
      </c>
      <c r="C2545" s="421">
        <v>17</v>
      </c>
      <c r="D2545" s="41"/>
    </row>
    <row r="2546" spans="1:5" x14ac:dyDescent="0.25">
      <c r="A2546" s="421" t="s">
        <v>370</v>
      </c>
      <c r="B2546" s="412">
        <f>VLOOKUP(B2528,'BANG LUONG 1'!$B$5:$AJ$56,22,0)</f>
        <v>126393.75</v>
      </c>
      <c r="C2546" s="421">
        <v>18</v>
      </c>
      <c r="D2546" s="41"/>
    </row>
    <row r="2547" spans="1:5" x14ac:dyDescent="0.25">
      <c r="A2547" s="421" t="s">
        <v>371</v>
      </c>
      <c r="B2547" s="412">
        <f>VLOOKUP(B2528,'BANG LUONG 1'!$B$5:$AJ$56,23,0)</f>
        <v>300000</v>
      </c>
      <c r="C2547" s="421">
        <v>19</v>
      </c>
      <c r="D2547" s="41"/>
    </row>
    <row r="2548" spans="1:5" x14ac:dyDescent="0.25">
      <c r="A2548" s="421" t="s">
        <v>560</v>
      </c>
      <c r="B2548" s="412">
        <f>VLOOKUP(B2528,'BANG LUONG 1'!$B$5:$AJ$56,24,0)</f>
        <v>0</v>
      </c>
      <c r="C2548" s="421">
        <v>22</v>
      </c>
      <c r="D2548" s="41"/>
    </row>
    <row r="2549" spans="1:5" x14ac:dyDescent="0.25">
      <c r="A2549" s="183" t="s">
        <v>237</v>
      </c>
      <c r="B2549" s="415">
        <f>VLOOKUP(B2528,'BANG LUONG 1'!$B$5:$AJ$56,26,0)</f>
        <v>7055432.211538462</v>
      </c>
      <c r="C2549" s="421">
        <v>24</v>
      </c>
      <c r="D2549" s="41"/>
    </row>
    <row r="2550" spans="1:5" x14ac:dyDescent="0.25">
      <c r="A2550" s="421" t="s">
        <v>545</v>
      </c>
      <c r="B2550" s="412">
        <f>VLOOKUP(B2528,'BANG LUONG 1'!$B$5:$AJ$56,27,0)</f>
        <v>3000000</v>
      </c>
      <c r="C2550" s="421">
        <v>25</v>
      </c>
      <c r="D2550" s="41"/>
    </row>
    <row r="2551" spans="1:5" x14ac:dyDescent="0.25">
      <c r="A2551" s="421" t="s">
        <v>544</v>
      </c>
      <c r="B2551" s="412">
        <f>VLOOKUP(B2528,'BANG LUONG 1'!$B$5:$AJ$56,28,0)</f>
        <v>480585</v>
      </c>
      <c r="C2551" s="421">
        <v>26</v>
      </c>
      <c r="D2551" s="41"/>
    </row>
    <row r="2552" spans="1:5" x14ac:dyDescent="0.25">
      <c r="A2552" s="421" t="s">
        <v>712</v>
      </c>
      <c r="B2552" s="415">
        <f>VLOOKUP(B2528,'BANG LUONG 1'!$B$5:$AJ$56,32,0)</f>
        <v>0</v>
      </c>
      <c r="C2552" s="421"/>
      <c r="D2552" s="41"/>
    </row>
    <row r="2553" spans="1:5" x14ac:dyDescent="0.25">
      <c r="A2553" s="421" t="s">
        <v>713</v>
      </c>
      <c r="B2553" s="415">
        <f>VLOOKUP(B2528,'BANG LUONG 1'!$B$5:$AJ$56,33,0)</f>
        <v>0</v>
      </c>
      <c r="C2553" s="421"/>
      <c r="D2553" s="41"/>
    </row>
    <row r="2554" spans="1:5" x14ac:dyDescent="0.25">
      <c r="A2554" s="183" t="s">
        <v>707</v>
      </c>
      <c r="B2554" s="415">
        <f>VLOOKUP(B2528,'BANG LUONG 1'!$B$5:$AJ$56,34,0)</f>
        <v>0</v>
      </c>
      <c r="C2554" s="421"/>
      <c r="D2554" s="41"/>
      <c r="E2554" s="108" t="e">
        <f>B2529</f>
        <v>#N/A</v>
      </c>
    </row>
    <row r="2555" spans="1:5" x14ac:dyDescent="0.25">
      <c r="A2555" s="183" t="s">
        <v>546</v>
      </c>
      <c r="B2555" s="415">
        <f>VLOOKUP(B2528,'BANG LUONG 1'!$B$5:$AJ$56,35,0)</f>
        <v>3675000</v>
      </c>
      <c r="C2555" s="421"/>
      <c r="D2555" s="41"/>
    </row>
    <row r="2556" spans="1:5" x14ac:dyDescent="0.25">
      <c r="A2556" s="183"/>
      <c r="B2556" s="412"/>
      <c r="C2556" s="421">
        <v>27</v>
      </c>
      <c r="D2556" s="185"/>
    </row>
    <row r="2557" spans="1:5" x14ac:dyDescent="0.25">
      <c r="A2557" s="184" t="s">
        <v>549</v>
      </c>
      <c r="B2557" s="424">
        <f>'BANG LUONG 1'!$P$3</f>
        <v>43733</v>
      </c>
    </row>
    <row r="2558" spans="1:5" x14ac:dyDescent="0.25">
      <c r="A2558" s="183" t="s">
        <v>1</v>
      </c>
      <c r="B2558" s="185" t="s">
        <v>161</v>
      </c>
      <c r="C2558" s="421">
        <v>1</v>
      </c>
      <c r="D2558" s="41"/>
    </row>
    <row r="2559" spans="1:5" x14ac:dyDescent="0.25">
      <c r="A2559" s="183" t="s">
        <v>2</v>
      </c>
      <c r="B2559" s="185" t="e">
        <f>VLOOKUP($B2558,'BANG LUONG 1'!$B$6:$AB$26,C2559,0)</f>
        <v>#N/A</v>
      </c>
      <c r="C2559" s="421">
        <v>2</v>
      </c>
      <c r="D2559" s="41"/>
    </row>
    <row r="2560" spans="1:5" x14ac:dyDescent="0.25">
      <c r="A2560" s="421" t="s">
        <v>3</v>
      </c>
      <c r="B2560" s="41" t="e">
        <f>VLOOKUP($B2558,'BANG LUONG 1'!$B$6:$AJ$48,C2560,0)</f>
        <v>#N/A</v>
      </c>
      <c r="C2560" s="421">
        <v>3</v>
      </c>
      <c r="D2560" s="41"/>
    </row>
    <row r="2561" spans="1:5" x14ac:dyDescent="0.25">
      <c r="A2561" s="421" t="s">
        <v>376</v>
      </c>
      <c r="B2561" s="410">
        <f>VLOOKUP($B2558,'BANG LUONG 1'!$B$5:$AJ$56,4,0)</f>
        <v>42413</v>
      </c>
      <c r="C2561" s="421">
        <v>4</v>
      </c>
      <c r="D2561" s="41"/>
    </row>
    <row r="2562" spans="1:5" x14ac:dyDescent="0.25">
      <c r="A2562" s="421" t="s">
        <v>698</v>
      </c>
      <c r="B2562" s="411">
        <f>VLOOKUP(B2558,'BANG LUONG 1'!$B$5:$AJ$56,6,0)</f>
        <v>0.03</v>
      </c>
      <c r="C2562" s="421">
        <v>5</v>
      </c>
      <c r="D2562" s="41"/>
    </row>
    <row r="2563" spans="1:5" x14ac:dyDescent="0.25">
      <c r="A2563" s="421" t="s">
        <v>229</v>
      </c>
      <c r="B2563" s="412">
        <f>'thang luong moi'!$F$5</f>
        <v>4012500</v>
      </c>
      <c r="C2563" s="421">
        <v>6</v>
      </c>
      <c r="D2563" s="41"/>
    </row>
    <row r="2564" spans="1:5" x14ac:dyDescent="0.25">
      <c r="A2564" s="421" t="s">
        <v>217</v>
      </c>
      <c r="B2564" s="412" t="str">
        <f>VLOOKUP(B2558,'BANG LUONG 1'!$B$5:$AJ$56,8,0)</f>
        <v>B.05</v>
      </c>
      <c r="C2564" s="421">
        <v>7</v>
      </c>
      <c r="D2564" s="41"/>
    </row>
    <row r="2565" spans="1:5" x14ac:dyDescent="0.25">
      <c r="A2565" s="421" t="s">
        <v>230</v>
      </c>
      <c r="B2565" s="412">
        <f>VLOOKUP(B2558,'BANG LUONG 1'!$B$5:$AJ$56,9,0)</f>
        <v>1</v>
      </c>
      <c r="C2565" s="421">
        <v>8</v>
      </c>
      <c r="D2565" s="41"/>
    </row>
    <row r="2566" spans="1:5" x14ac:dyDescent="0.25">
      <c r="A2566" s="421" t="s">
        <v>538</v>
      </c>
      <c r="B2566" s="412">
        <f>VLOOKUP(B2558,'BANG LUONG 1'!$B$5:$AJ$56,11,0)</f>
        <v>4213125</v>
      </c>
      <c r="C2566" s="421">
        <v>9</v>
      </c>
      <c r="D2566" s="41"/>
    </row>
    <row r="2567" spans="1:5" x14ac:dyDescent="0.25">
      <c r="A2567" s="421" t="s">
        <v>354</v>
      </c>
      <c r="B2567" s="412">
        <f>VLOOKUP(B2558,'BANG LUONG 1'!$B$5:$AJ$56,12,0)</f>
        <v>26</v>
      </c>
      <c r="C2567" s="421">
        <v>10</v>
      </c>
      <c r="D2567" s="41"/>
    </row>
    <row r="2568" spans="1:5" x14ac:dyDescent="0.25">
      <c r="A2568" s="421" t="s">
        <v>534</v>
      </c>
      <c r="B2568" s="412">
        <f>VLOOKUP(B2558,'BANG LUONG 1'!$B$5:$AJ$56,13,0)</f>
        <v>4213125</v>
      </c>
      <c r="C2568" s="421">
        <v>11</v>
      </c>
      <c r="D2568" s="41"/>
    </row>
    <row r="2569" spans="1:5" x14ac:dyDescent="0.25">
      <c r="A2569" s="421" t="s">
        <v>592</v>
      </c>
      <c r="B2569" s="412">
        <f>VLOOKUP(B2558,'BANG LUONG 1'!$B$5:$AJ$56,14,0)</f>
        <v>0</v>
      </c>
      <c r="C2569" s="421">
        <v>12</v>
      </c>
      <c r="D2569" s="41">
        <f>B2566/26*B2569</f>
        <v>0</v>
      </c>
    </row>
    <row r="2570" spans="1:5" x14ac:dyDescent="0.25">
      <c r="A2570" s="421" t="s">
        <v>357</v>
      </c>
      <c r="B2570" s="412">
        <f>VLOOKUP(B2558,'BANG LUONG 1'!$B$5:$AJ$56,15,0)</f>
        <v>0</v>
      </c>
      <c r="C2570" s="421">
        <v>13</v>
      </c>
      <c r="D2570" s="41">
        <f>B2566/26/8*1.5*B2570</f>
        <v>0</v>
      </c>
    </row>
    <row r="2571" spans="1:5" x14ac:dyDescent="0.25">
      <c r="A2571" s="421" t="s">
        <v>387</v>
      </c>
      <c r="B2571" s="412">
        <f>VLOOKUP(B2558,'BANG LUONG 1'!$B$5:$AJ$56,16,0)</f>
        <v>20</v>
      </c>
      <c r="C2571" s="421">
        <v>14</v>
      </c>
      <c r="D2571" s="41">
        <f>B2566/26/8*2*B2571</f>
        <v>810216.34615384613</v>
      </c>
    </row>
    <row r="2572" spans="1:5" x14ac:dyDescent="0.25">
      <c r="A2572" s="421" t="s">
        <v>593</v>
      </c>
      <c r="B2572" s="412">
        <f>VLOOKUP(B2558,'BANG LUONG 1'!$B$5:$AJ$56,17,0)</f>
        <v>0</v>
      </c>
      <c r="C2572" s="421"/>
      <c r="D2572" s="41">
        <f>(B2566/26)*B2572</f>
        <v>0</v>
      </c>
    </row>
    <row r="2573" spans="1:5" x14ac:dyDescent="0.25">
      <c r="A2573" s="421" t="s">
        <v>388</v>
      </c>
      <c r="B2573" s="412">
        <f>VLOOKUP(B2558,'BANG LUONG 1'!$B$5:$AJ$56,18,0)</f>
        <v>1</v>
      </c>
      <c r="C2573" s="421">
        <v>15</v>
      </c>
      <c r="D2573" s="41">
        <f>(B2566/26*B2573)*3</f>
        <v>486129.80769230763</v>
      </c>
    </row>
    <row r="2574" spans="1:5" x14ac:dyDescent="0.25">
      <c r="A2574" s="421" t="s">
        <v>533</v>
      </c>
      <c r="B2574" s="412">
        <f>VLOOKUP(B2558,'BANG LUONG 1'!$B$5:$AJ$56,19,0)</f>
        <v>5509471.153846154</v>
      </c>
      <c r="C2574" s="183">
        <v>16</v>
      </c>
      <c r="D2574" s="185">
        <f>B2568+D2570+D2571+D2569+D2573+D2572</f>
        <v>5509471.153846154</v>
      </c>
      <c r="E2574" s="108"/>
    </row>
    <row r="2575" spans="1:5" x14ac:dyDescent="0.25">
      <c r="A2575" s="421" t="s">
        <v>535</v>
      </c>
      <c r="B2575" s="412">
        <f>VLOOKUP(B2558,'BANG LUONG 1'!$B$5:$AJ$56,20,0)</f>
        <v>1119567.307692308</v>
      </c>
      <c r="C2575" s="421">
        <v>17</v>
      </c>
      <c r="D2575" s="41"/>
    </row>
    <row r="2576" spans="1:5" x14ac:dyDescent="0.25">
      <c r="A2576" s="421" t="s">
        <v>370</v>
      </c>
      <c r="B2576" s="412">
        <f>VLOOKUP(B2558,'BANG LUONG 1'!$B$5:$AJ$56,22,0)</f>
        <v>126393.75</v>
      </c>
      <c r="C2576" s="421">
        <v>18</v>
      </c>
      <c r="D2576" s="41"/>
    </row>
    <row r="2577" spans="1:5" x14ac:dyDescent="0.25">
      <c r="A2577" s="421" t="s">
        <v>371</v>
      </c>
      <c r="B2577" s="412">
        <f>VLOOKUP(B2558,'BANG LUONG 1'!$B$5:$AJ$56,23,0)</f>
        <v>300000</v>
      </c>
      <c r="C2577" s="421">
        <v>19</v>
      </c>
      <c r="D2577" s="41"/>
    </row>
    <row r="2578" spans="1:5" x14ac:dyDescent="0.25">
      <c r="A2578" s="421" t="s">
        <v>560</v>
      </c>
      <c r="B2578" s="412">
        <f>VLOOKUP(B2558,'BANG LUONG 1'!$B$5:$AJ$56,24,0)</f>
        <v>0</v>
      </c>
      <c r="C2578" s="421">
        <v>22</v>
      </c>
      <c r="D2578" s="41"/>
    </row>
    <row r="2579" spans="1:5" x14ac:dyDescent="0.25">
      <c r="A2579" s="183" t="s">
        <v>237</v>
      </c>
      <c r="B2579" s="415">
        <f>VLOOKUP(B2558,'BANG LUONG 1'!$B$5:$AJ$56,26,0)</f>
        <v>7055432.211538462</v>
      </c>
      <c r="C2579" s="421">
        <v>24</v>
      </c>
      <c r="D2579" s="41"/>
    </row>
    <row r="2580" spans="1:5" x14ac:dyDescent="0.25">
      <c r="A2580" s="421" t="s">
        <v>545</v>
      </c>
      <c r="B2580" s="412">
        <f>VLOOKUP(B2558,'BANG LUONG 1'!$B$5:$AJ$56,27,0)</f>
        <v>3000000</v>
      </c>
      <c r="C2580" s="421">
        <v>25</v>
      </c>
      <c r="D2580" s="41"/>
    </row>
    <row r="2581" spans="1:5" x14ac:dyDescent="0.25">
      <c r="A2581" s="421" t="s">
        <v>544</v>
      </c>
      <c r="B2581" s="412">
        <f>VLOOKUP(B2558,'BANG LUONG 1'!$B$5:$AJ$56,28,0)</f>
        <v>480585</v>
      </c>
      <c r="C2581" s="421">
        <v>26</v>
      </c>
      <c r="D2581" s="41"/>
    </row>
    <row r="2582" spans="1:5" x14ac:dyDescent="0.25">
      <c r="A2582" s="421" t="s">
        <v>712</v>
      </c>
      <c r="B2582" s="415">
        <f>VLOOKUP(B2558,'BANG LUONG 1'!$B$5:$AJ$56,32,0)</f>
        <v>0</v>
      </c>
      <c r="C2582" s="421"/>
      <c r="D2582" s="41"/>
    </row>
    <row r="2583" spans="1:5" x14ac:dyDescent="0.25">
      <c r="A2583" s="421" t="s">
        <v>713</v>
      </c>
      <c r="B2583" s="415">
        <f>VLOOKUP(B2558,'BANG LUONG 1'!$B$5:$AJ$56,33,0)</f>
        <v>0</v>
      </c>
      <c r="C2583" s="421"/>
      <c r="D2583" s="41"/>
    </row>
    <row r="2584" spans="1:5" x14ac:dyDescent="0.25">
      <c r="A2584" s="183" t="s">
        <v>707</v>
      </c>
      <c r="B2584" s="415">
        <f>VLOOKUP(B2558,'BANG LUONG 1'!$B$5:$AJ$56,34,0)</f>
        <v>0</v>
      </c>
      <c r="C2584" s="421"/>
      <c r="D2584" s="41"/>
      <c r="E2584" s="108" t="e">
        <f>B2559</f>
        <v>#N/A</v>
      </c>
    </row>
    <row r="2585" spans="1:5" x14ac:dyDescent="0.25">
      <c r="A2585" s="183" t="s">
        <v>546</v>
      </c>
      <c r="B2585" s="415">
        <f>VLOOKUP(B2558,'BANG LUONG 1'!$B$5:$AJ$56,35,0)</f>
        <v>3675000</v>
      </c>
      <c r="C2585" s="421"/>
      <c r="D2585" s="41"/>
    </row>
    <row r="2586" spans="1:5" x14ac:dyDescent="0.25">
      <c r="A2586" s="183"/>
      <c r="B2586" s="412"/>
      <c r="C2586" s="421">
        <v>27</v>
      </c>
      <c r="D2586" s="185"/>
    </row>
    <row r="2587" spans="1:5" x14ac:dyDescent="0.25">
      <c r="A2587" s="184" t="s">
        <v>549</v>
      </c>
      <c r="B2587" s="424">
        <f>'BANG LUONG 1'!$P$3</f>
        <v>43733</v>
      </c>
    </row>
    <row r="2588" spans="1:5" x14ac:dyDescent="0.25">
      <c r="A2588" s="183" t="s">
        <v>1</v>
      </c>
      <c r="B2588" s="185" t="s">
        <v>162</v>
      </c>
      <c r="C2588" s="421">
        <v>1</v>
      </c>
      <c r="D2588" s="41"/>
    </row>
    <row r="2589" spans="1:5" x14ac:dyDescent="0.25">
      <c r="A2589" s="183" t="s">
        <v>2</v>
      </c>
      <c r="B2589" s="185" t="str">
        <f>VLOOKUP($B2588,'BANG LUONG 1'!$B$6:$AB$51,C2589,0)</f>
        <v>Đặng Hải Bằng</v>
      </c>
      <c r="C2589" s="421">
        <v>2</v>
      </c>
      <c r="D2589" s="41"/>
    </row>
    <row r="2590" spans="1:5" x14ac:dyDescent="0.25">
      <c r="A2590" s="421" t="s">
        <v>3</v>
      </c>
      <c r="B2590" s="41" t="str">
        <f>VLOOKUP($B2588,'BANG LUONG 1'!$B$6:$AJ$48,C2590,0)</f>
        <v xml:space="preserve">Công nhân </v>
      </c>
      <c r="C2590" s="421">
        <v>3</v>
      </c>
      <c r="D2590" s="41"/>
    </row>
    <row r="2591" spans="1:5" x14ac:dyDescent="0.25">
      <c r="A2591" s="421" t="s">
        <v>376</v>
      </c>
      <c r="B2591" s="410">
        <f>VLOOKUP($B2588,'BANG LUONG 1'!$B$5:$AJ$56,4,0)</f>
        <v>43523</v>
      </c>
      <c r="C2591" s="421">
        <v>4</v>
      </c>
      <c r="D2591" s="41"/>
    </row>
    <row r="2592" spans="1:5" x14ac:dyDescent="0.25">
      <c r="A2592" s="421" t="s">
        <v>698</v>
      </c>
      <c r="B2592" s="411">
        <f>VLOOKUP(B2588,'BANG LUONG 1'!$B$5:$AJ$56,6,0)</f>
        <v>0</v>
      </c>
      <c r="C2592" s="421">
        <v>5</v>
      </c>
      <c r="D2592" s="41"/>
    </row>
    <row r="2593" spans="1:5" x14ac:dyDescent="0.25">
      <c r="A2593" s="421" t="s">
        <v>229</v>
      </c>
      <c r="B2593" s="412">
        <f>'thang luong moi'!$F$5</f>
        <v>4012500</v>
      </c>
      <c r="C2593" s="421">
        <v>6</v>
      </c>
      <c r="D2593" s="41"/>
    </row>
    <row r="2594" spans="1:5" x14ac:dyDescent="0.25">
      <c r="A2594" s="421" t="s">
        <v>217</v>
      </c>
      <c r="B2594" s="412" t="str">
        <f>VLOOKUP(B2588,'BANG LUONG 1'!$B$5:$AJ$56,8,0)</f>
        <v>B.05</v>
      </c>
      <c r="C2594" s="421">
        <v>7</v>
      </c>
      <c r="D2594" s="41"/>
    </row>
    <row r="2595" spans="1:5" x14ac:dyDescent="0.25">
      <c r="A2595" s="421" t="s">
        <v>230</v>
      </c>
      <c r="B2595" s="412">
        <f>VLOOKUP(B2588,'BANG LUONG 1'!$B$5:$AJ$56,9,0)</f>
        <v>1</v>
      </c>
      <c r="C2595" s="421">
        <v>8</v>
      </c>
      <c r="D2595" s="41"/>
    </row>
    <row r="2596" spans="1:5" x14ac:dyDescent="0.25">
      <c r="A2596" s="421" t="s">
        <v>538</v>
      </c>
      <c r="B2596" s="412">
        <f>VLOOKUP(B2588,'BANG LUONG 1'!$B$5:$AJ$56,11,0)</f>
        <v>4213125</v>
      </c>
      <c r="C2596" s="421">
        <v>9</v>
      </c>
      <c r="D2596" s="41"/>
    </row>
    <row r="2597" spans="1:5" x14ac:dyDescent="0.25">
      <c r="A2597" s="421" t="s">
        <v>354</v>
      </c>
      <c r="B2597" s="412">
        <f>VLOOKUP(B2588,'BANG LUONG 1'!$B$5:$AJ$56,12,0)</f>
        <v>26</v>
      </c>
      <c r="C2597" s="421">
        <v>10</v>
      </c>
      <c r="D2597" s="41"/>
    </row>
    <row r="2598" spans="1:5" x14ac:dyDescent="0.25">
      <c r="A2598" s="421" t="s">
        <v>534</v>
      </c>
      <c r="B2598" s="412">
        <f>VLOOKUP(B2588,'BANG LUONG 1'!$B$5:$AJ$56,13,0)</f>
        <v>4213125</v>
      </c>
      <c r="C2598" s="421">
        <v>11</v>
      </c>
      <c r="D2598" s="41"/>
    </row>
    <row r="2599" spans="1:5" x14ac:dyDescent="0.25">
      <c r="A2599" s="421" t="s">
        <v>592</v>
      </c>
      <c r="B2599" s="412">
        <f>VLOOKUP(B2588,'BANG LUONG 1'!$B$5:$AJ$56,14,0)</f>
        <v>0</v>
      </c>
      <c r="C2599" s="421">
        <v>12</v>
      </c>
      <c r="D2599" s="41">
        <f>B2596/26*B2599</f>
        <v>0</v>
      </c>
    </row>
    <row r="2600" spans="1:5" x14ac:dyDescent="0.25">
      <c r="A2600" s="421" t="s">
        <v>357</v>
      </c>
      <c r="B2600" s="412">
        <f>VLOOKUP(B2588,'BANG LUONG 1'!$B$5:$AJ$56,15,0)</f>
        <v>0</v>
      </c>
      <c r="C2600" s="421">
        <v>13</v>
      </c>
      <c r="D2600" s="41">
        <f>B2596/26/8*1.5*B2600</f>
        <v>0</v>
      </c>
    </row>
    <row r="2601" spans="1:5" x14ac:dyDescent="0.25">
      <c r="A2601" s="421" t="s">
        <v>387</v>
      </c>
      <c r="B2601" s="412">
        <f>VLOOKUP(B2588,'BANG LUONG 1'!$B$5:$AJ$56,16,0)</f>
        <v>0</v>
      </c>
      <c r="C2601" s="421">
        <v>14</v>
      </c>
      <c r="D2601" s="41">
        <f>B2596/26/8*2*B2601</f>
        <v>0</v>
      </c>
    </row>
    <row r="2602" spans="1:5" x14ac:dyDescent="0.25">
      <c r="A2602" s="421" t="s">
        <v>593</v>
      </c>
      <c r="B2602" s="412">
        <f>VLOOKUP(B2588,'BANG LUONG 1'!$B$5:$AJ$56,17,0)</f>
        <v>1</v>
      </c>
      <c r="C2602" s="421"/>
      <c r="D2602" s="41">
        <f>(B2596/26)*B2602</f>
        <v>162043.26923076922</v>
      </c>
    </row>
    <row r="2603" spans="1:5" x14ac:dyDescent="0.25">
      <c r="A2603" s="421" t="s">
        <v>388</v>
      </c>
      <c r="B2603" s="412">
        <f>VLOOKUP(B2588,'BANG LUONG 1'!$B$5:$AJ$56,18,0)</f>
        <v>0</v>
      </c>
      <c r="C2603" s="421">
        <v>15</v>
      </c>
      <c r="D2603" s="41">
        <f>(B2596/26*B2603)*3</f>
        <v>0</v>
      </c>
    </row>
    <row r="2604" spans="1:5" x14ac:dyDescent="0.25">
      <c r="A2604" s="421" t="s">
        <v>533</v>
      </c>
      <c r="B2604" s="412">
        <f>VLOOKUP(B2588,'BANG LUONG 1'!$B$5:$AJ$56,19,0)</f>
        <v>4375168.269230769</v>
      </c>
      <c r="C2604" s="183">
        <v>16</v>
      </c>
      <c r="D2604" s="185">
        <f>B2598+D2600+D2601+D2599+D2603+D2602</f>
        <v>4375168.269230769</v>
      </c>
      <c r="E2604" s="108"/>
    </row>
    <row r="2605" spans="1:5" x14ac:dyDescent="0.25">
      <c r="A2605" s="421" t="s">
        <v>535</v>
      </c>
      <c r="B2605" s="412">
        <f>VLOOKUP(B2588,'BANG LUONG 1'!$B$5:$AJ$56,20,0)</f>
        <v>286875</v>
      </c>
      <c r="C2605" s="421">
        <v>17</v>
      </c>
      <c r="D2605" s="41"/>
    </row>
    <row r="2606" spans="1:5" x14ac:dyDescent="0.25">
      <c r="A2606" s="421" t="s">
        <v>370</v>
      </c>
      <c r="B2606" s="412">
        <f>VLOOKUP(B2588,'BANG LUONG 1'!$B$5:$AJ$56,22,0)</f>
        <v>0</v>
      </c>
      <c r="C2606" s="421">
        <v>18</v>
      </c>
      <c r="D2606" s="41"/>
    </row>
    <row r="2607" spans="1:5" x14ac:dyDescent="0.25">
      <c r="A2607" s="421" t="s">
        <v>371</v>
      </c>
      <c r="B2607" s="412">
        <f>VLOOKUP(B2588,'BANG LUONG 1'!$B$5:$AJ$56,23,0)</f>
        <v>300000</v>
      </c>
      <c r="C2607" s="421">
        <v>19</v>
      </c>
      <c r="D2607" s="41"/>
    </row>
    <row r="2608" spans="1:5" x14ac:dyDescent="0.25">
      <c r="A2608" s="421" t="s">
        <v>560</v>
      </c>
      <c r="B2608" s="412">
        <f>VLOOKUP(B2588,'BANG LUONG 1'!$B$5:$AJ$56,24,0)</f>
        <v>0</v>
      </c>
      <c r="C2608" s="421">
        <v>22</v>
      </c>
      <c r="D2608" s="41"/>
    </row>
    <row r="2609" spans="1:5" x14ac:dyDescent="0.25">
      <c r="A2609" s="183" t="s">
        <v>237</v>
      </c>
      <c r="B2609" s="415">
        <f>VLOOKUP(B2588,'BANG LUONG 1'!$B$5:$AJ$56,26,0)</f>
        <v>4962043.269230769</v>
      </c>
      <c r="C2609" s="421">
        <v>24</v>
      </c>
      <c r="D2609" s="41"/>
    </row>
    <row r="2610" spans="1:5" x14ac:dyDescent="0.25">
      <c r="A2610" s="421" t="s">
        <v>545</v>
      </c>
      <c r="B2610" s="412">
        <f>VLOOKUP(B2588,'BANG LUONG 1'!$B$5:$AJ$56,27,0)</f>
        <v>0</v>
      </c>
      <c r="C2610" s="421">
        <v>25</v>
      </c>
      <c r="D2610" s="41"/>
    </row>
    <row r="2611" spans="1:5" x14ac:dyDescent="0.25">
      <c r="A2611" s="421" t="s">
        <v>544</v>
      </c>
      <c r="B2611" s="412">
        <f>VLOOKUP(B2588,'BANG LUONG 1'!$B$5:$AJ$56,28,0)</f>
        <v>0</v>
      </c>
      <c r="C2611" s="421">
        <v>26</v>
      </c>
      <c r="D2611" s="41"/>
    </row>
    <row r="2612" spans="1:5" x14ac:dyDescent="0.25">
      <c r="A2612" s="421" t="s">
        <v>712</v>
      </c>
      <c r="B2612" s="415">
        <f>VLOOKUP(B2588,'BANG LUONG 1'!$B$5:$AJ$56,32,0)</f>
        <v>0</v>
      </c>
      <c r="C2612" s="421"/>
      <c r="D2612" s="41"/>
    </row>
    <row r="2613" spans="1:5" x14ac:dyDescent="0.25">
      <c r="A2613" s="421" t="s">
        <v>713</v>
      </c>
      <c r="B2613" s="415">
        <f>VLOOKUP(B2588,'BANG LUONG 1'!$B$5:$AJ$56,33,0)</f>
        <v>0</v>
      </c>
      <c r="C2613" s="421"/>
      <c r="D2613" s="41"/>
    </row>
    <row r="2614" spans="1:5" x14ac:dyDescent="0.25">
      <c r="A2614" s="183" t="s">
        <v>707</v>
      </c>
      <c r="B2614" s="415">
        <f>VLOOKUP(B2588,'BANG LUONG 1'!$B$5:$AJ$56,34,0)</f>
        <v>0</v>
      </c>
      <c r="C2614" s="421"/>
      <c r="D2614" s="41"/>
      <c r="E2614" s="108" t="str">
        <f>B2589</f>
        <v>Đặng Hải Bằng</v>
      </c>
    </row>
    <row r="2615" spans="1:5" x14ac:dyDescent="0.25">
      <c r="A2615" s="183" t="s">
        <v>546</v>
      </c>
      <c r="B2615" s="415">
        <f>VLOOKUP(B2588,'BANG LUONG 1'!$B$5:$AJ$56,35,0)</f>
        <v>5062000</v>
      </c>
      <c r="C2615" s="421"/>
      <c r="D2615" s="41"/>
    </row>
    <row r="2616" spans="1:5" x14ac:dyDescent="0.25">
      <c r="A2616" s="183"/>
      <c r="B2616" s="412"/>
      <c r="C2616" s="421">
        <v>27</v>
      </c>
      <c r="D2616" s="185"/>
    </row>
    <row r="2617" spans="1:5" x14ac:dyDescent="0.25">
      <c r="A2617" s="184" t="s">
        <v>549</v>
      </c>
      <c r="B2617" s="424">
        <f>'BANG LUONG 1'!$P$3</f>
        <v>43733</v>
      </c>
    </row>
    <row r="2618" spans="1:5" x14ac:dyDescent="0.25">
      <c r="A2618" s="183" t="s">
        <v>1</v>
      </c>
      <c r="B2618" s="185" t="s">
        <v>162</v>
      </c>
      <c r="C2618" s="421">
        <v>1</v>
      </c>
      <c r="D2618" s="41"/>
    </row>
    <row r="2619" spans="1:5" x14ac:dyDescent="0.25">
      <c r="A2619" s="183" t="s">
        <v>2</v>
      </c>
      <c r="B2619" s="185" t="str">
        <f>VLOOKUP($B2618,'BANG LUONG 1'!$B$6:$AB$51,C2619,0)</f>
        <v>Đặng Hải Bằng</v>
      </c>
      <c r="C2619" s="421">
        <v>2</v>
      </c>
      <c r="D2619" s="41"/>
    </row>
    <row r="2620" spans="1:5" x14ac:dyDescent="0.25">
      <c r="A2620" s="421" t="s">
        <v>3</v>
      </c>
      <c r="B2620" s="41" t="str">
        <f>VLOOKUP($B2618,'BANG LUONG 1'!$B$6:$AJ$48,C2620,0)</f>
        <v xml:space="preserve">Công nhân </v>
      </c>
      <c r="C2620" s="421">
        <v>3</v>
      </c>
      <c r="D2620" s="41"/>
    </row>
    <row r="2621" spans="1:5" x14ac:dyDescent="0.25">
      <c r="A2621" s="421" t="s">
        <v>376</v>
      </c>
      <c r="B2621" s="410">
        <f>VLOOKUP($B2618,'BANG LUONG 1'!$B$5:$AJ$56,4,0)</f>
        <v>43523</v>
      </c>
      <c r="C2621" s="421">
        <v>4</v>
      </c>
      <c r="D2621" s="41"/>
    </row>
    <row r="2622" spans="1:5" x14ac:dyDescent="0.25">
      <c r="A2622" s="421" t="s">
        <v>698</v>
      </c>
      <c r="B2622" s="411">
        <f>VLOOKUP(B2618,'BANG LUONG 1'!$B$5:$AJ$56,6,0)</f>
        <v>0</v>
      </c>
      <c r="C2622" s="421">
        <v>5</v>
      </c>
      <c r="D2622" s="41"/>
    </row>
    <row r="2623" spans="1:5" x14ac:dyDescent="0.25">
      <c r="A2623" s="421" t="s">
        <v>229</v>
      </c>
      <c r="B2623" s="412">
        <f>'thang luong moi'!$F$5</f>
        <v>4012500</v>
      </c>
      <c r="C2623" s="421">
        <v>6</v>
      </c>
      <c r="D2623" s="41"/>
    </row>
    <row r="2624" spans="1:5" x14ac:dyDescent="0.25">
      <c r="A2624" s="421" t="s">
        <v>217</v>
      </c>
      <c r="B2624" s="412" t="str">
        <f>VLOOKUP(B2618,'BANG LUONG 1'!$B$5:$AJ$56,8,0)</f>
        <v>B.05</v>
      </c>
      <c r="C2624" s="421">
        <v>7</v>
      </c>
      <c r="D2624" s="41"/>
    </row>
    <row r="2625" spans="1:5" x14ac:dyDescent="0.25">
      <c r="A2625" s="421" t="s">
        <v>230</v>
      </c>
      <c r="B2625" s="412">
        <f>VLOOKUP(B2618,'BANG LUONG 1'!$B$5:$AJ$56,9,0)</f>
        <v>1</v>
      </c>
      <c r="C2625" s="421">
        <v>8</v>
      </c>
      <c r="D2625" s="41"/>
    </row>
    <row r="2626" spans="1:5" x14ac:dyDescent="0.25">
      <c r="A2626" s="421" t="s">
        <v>538</v>
      </c>
      <c r="B2626" s="412">
        <f>VLOOKUP(B2618,'BANG LUONG 1'!$B$5:$AJ$56,11,0)</f>
        <v>4213125</v>
      </c>
      <c r="C2626" s="421">
        <v>9</v>
      </c>
      <c r="D2626" s="41"/>
    </row>
    <row r="2627" spans="1:5" x14ac:dyDescent="0.25">
      <c r="A2627" s="421" t="s">
        <v>354</v>
      </c>
      <c r="B2627" s="412">
        <f>VLOOKUP(B2618,'BANG LUONG 1'!$B$5:$AJ$56,12,0)</f>
        <v>26</v>
      </c>
      <c r="C2627" s="421">
        <v>10</v>
      </c>
      <c r="D2627" s="41"/>
    </row>
    <row r="2628" spans="1:5" x14ac:dyDescent="0.25">
      <c r="A2628" s="421" t="s">
        <v>534</v>
      </c>
      <c r="B2628" s="412">
        <f>VLOOKUP(B2618,'BANG LUONG 1'!$B$5:$AJ$56,13,0)</f>
        <v>4213125</v>
      </c>
      <c r="C2628" s="421">
        <v>11</v>
      </c>
      <c r="D2628" s="41"/>
    </row>
    <row r="2629" spans="1:5" x14ac:dyDescent="0.25">
      <c r="A2629" s="421" t="s">
        <v>592</v>
      </c>
      <c r="B2629" s="412">
        <f>VLOOKUP(B2618,'BANG LUONG 1'!$B$5:$AJ$56,14,0)</f>
        <v>0</v>
      </c>
      <c r="C2629" s="421">
        <v>12</v>
      </c>
      <c r="D2629" s="41">
        <f>B2626/26*B2629</f>
        <v>0</v>
      </c>
    </row>
    <row r="2630" spans="1:5" x14ac:dyDescent="0.25">
      <c r="A2630" s="421" t="s">
        <v>357</v>
      </c>
      <c r="B2630" s="412">
        <f>VLOOKUP(B2618,'BANG LUONG 1'!$B$5:$AJ$56,15,0)</f>
        <v>0</v>
      </c>
      <c r="C2630" s="421">
        <v>13</v>
      </c>
      <c r="D2630" s="41">
        <f>B2626/26/8*1.5*B2630</f>
        <v>0</v>
      </c>
    </row>
    <row r="2631" spans="1:5" x14ac:dyDescent="0.25">
      <c r="A2631" s="421" t="s">
        <v>387</v>
      </c>
      <c r="B2631" s="412">
        <f>VLOOKUP(B2618,'BANG LUONG 1'!$B$5:$AJ$56,16,0)</f>
        <v>0</v>
      </c>
      <c r="C2631" s="421">
        <v>14</v>
      </c>
      <c r="D2631" s="41">
        <f>B2626/26/8*2*B2631</f>
        <v>0</v>
      </c>
    </row>
    <row r="2632" spans="1:5" x14ac:dyDescent="0.25">
      <c r="A2632" s="421" t="s">
        <v>593</v>
      </c>
      <c r="B2632" s="412">
        <f>VLOOKUP(B2618,'BANG LUONG 1'!$B$5:$AJ$56,17,0)</f>
        <v>1</v>
      </c>
      <c r="C2632" s="421"/>
      <c r="D2632" s="41">
        <f>(B2626/26)*B2632</f>
        <v>162043.26923076922</v>
      </c>
    </row>
    <row r="2633" spans="1:5" x14ac:dyDescent="0.25">
      <c r="A2633" s="421" t="s">
        <v>388</v>
      </c>
      <c r="B2633" s="412">
        <f>VLOOKUP(B2618,'BANG LUONG 1'!$B$5:$AJ$56,18,0)</f>
        <v>0</v>
      </c>
      <c r="C2633" s="421">
        <v>15</v>
      </c>
      <c r="D2633" s="41">
        <f>(B2626/26*B2633)*3</f>
        <v>0</v>
      </c>
    </row>
    <row r="2634" spans="1:5" x14ac:dyDescent="0.25">
      <c r="A2634" s="421" t="s">
        <v>533</v>
      </c>
      <c r="B2634" s="412">
        <f>VLOOKUP(B2618,'BANG LUONG 1'!$B$5:$AJ$56,19,0)</f>
        <v>4375168.269230769</v>
      </c>
      <c r="C2634" s="183">
        <v>16</v>
      </c>
      <c r="D2634" s="185">
        <f>B2628+D2630+D2631+D2629+D2633+D2632</f>
        <v>4375168.269230769</v>
      </c>
      <c r="E2634" s="108"/>
    </row>
    <row r="2635" spans="1:5" x14ac:dyDescent="0.25">
      <c r="A2635" s="421" t="s">
        <v>535</v>
      </c>
      <c r="B2635" s="412">
        <f>VLOOKUP(B2618,'BANG LUONG 1'!$B$5:$AJ$56,20,0)</f>
        <v>286875</v>
      </c>
      <c r="C2635" s="421">
        <v>17</v>
      </c>
      <c r="D2635" s="41"/>
    </row>
    <row r="2636" spans="1:5" x14ac:dyDescent="0.25">
      <c r="A2636" s="421" t="s">
        <v>370</v>
      </c>
      <c r="B2636" s="412">
        <f>VLOOKUP(B2618,'BANG LUONG 1'!$B$5:$AJ$56,22,0)</f>
        <v>0</v>
      </c>
      <c r="C2636" s="421">
        <v>18</v>
      </c>
      <c r="D2636" s="41"/>
    </row>
    <row r="2637" spans="1:5" x14ac:dyDescent="0.25">
      <c r="A2637" s="421" t="s">
        <v>371</v>
      </c>
      <c r="B2637" s="412">
        <f>VLOOKUP(B2618,'BANG LUONG 1'!$B$5:$AJ$56,23,0)</f>
        <v>300000</v>
      </c>
      <c r="C2637" s="421">
        <v>19</v>
      </c>
      <c r="D2637" s="41"/>
    </row>
    <row r="2638" spans="1:5" x14ac:dyDescent="0.25">
      <c r="A2638" s="421" t="s">
        <v>560</v>
      </c>
      <c r="B2638" s="412">
        <f>VLOOKUP(B2618,'BANG LUONG 1'!$B$5:$AJ$56,24,0)</f>
        <v>0</v>
      </c>
      <c r="C2638" s="421">
        <v>22</v>
      </c>
      <c r="D2638" s="41"/>
    </row>
    <row r="2639" spans="1:5" x14ac:dyDescent="0.25">
      <c r="A2639" s="183" t="s">
        <v>237</v>
      </c>
      <c r="B2639" s="415">
        <f>VLOOKUP(B2618,'BANG LUONG 1'!$B$5:$AJ$56,26,0)</f>
        <v>4962043.269230769</v>
      </c>
      <c r="C2639" s="421">
        <v>24</v>
      </c>
      <c r="D2639" s="41"/>
    </row>
    <row r="2640" spans="1:5" x14ac:dyDescent="0.25">
      <c r="A2640" s="421" t="s">
        <v>545</v>
      </c>
      <c r="B2640" s="412">
        <f>VLOOKUP(B2618,'BANG LUONG 1'!$B$5:$AJ$56,27,0)</f>
        <v>0</v>
      </c>
      <c r="C2640" s="421">
        <v>25</v>
      </c>
      <c r="D2640" s="41"/>
    </row>
    <row r="2641" spans="1:5" x14ac:dyDescent="0.25">
      <c r="A2641" s="421" t="s">
        <v>544</v>
      </c>
      <c r="B2641" s="412">
        <f>VLOOKUP(B2618,'BANG LUONG 1'!$B$5:$AJ$56,28,0)</f>
        <v>0</v>
      </c>
      <c r="C2641" s="421">
        <v>26</v>
      </c>
      <c r="D2641" s="41"/>
    </row>
    <row r="2642" spans="1:5" x14ac:dyDescent="0.25">
      <c r="A2642" s="421" t="s">
        <v>712</v>
      </c>
      <c r="B2642" s="415">
        <f>VLOOKUP(B2618,'BANG LUONG 1'!$B$5:$AJ$56,32,0)</f>
        <v>0</v>
      </c>
      <c r="C2642" s="421"/>
      <c r="D2642" s="41"/>
    </row>
    <row r="2643" spans="1:5" x14ac:dyDescent="0.25">
      <c r="A2643" s="421" t="s">
        <v>713</v>
      </c>
      <c r="B2643" s="415">
        <f>VLOOKUP(B2618,'BANG LUONG 1'!$B$5:$AJ$56,33,0)</f>
        <v>0</v>
      </c>
      <c r="C2643" s="421"/>
      <c r="D2643" s="41"/>
    </row>
    <row r="2644" spans="1:5" x14ac:dyDescent="0.25">
      <c r="A2644" s="183" t="s">
        <v>707</v>
      </c>
      <c r="B2644" s="415">
        <f>VLOOKUP(B2618,'BANG LUONG 1'!$B$5:$AJ$56,34,0)</f>
        <v>0</v>
      </c>
      <c r="C2644" s="421"/>
      <c r="D2644" s="41"/>
      <c r="E2644" s="108" t="str">
        <f>B2619</f>
        <v>Đặng Hải Bằng</v>
      </c>
    </row>
    <row r="2645" spans="1:5" x14ac:dyDescent="0.25">
      <c r="A2645" s="183" t="s">
        <v>546</v>
      </c>
      <c r="B2645" s="415">
        <f>VLOOKUP(B2618,'BANG LUONG 1'!$B$5:$AJ$56,35,0)</f>
        <v>5062000</v>
      </c>
      <c r="C2645" s="421"/>
      <c r="D2645" s="41"/>
    </row>
    <row r="2646" spans="1:5" x14ac:dyDescent="0.25">
      <c r="A2646" s="183"/>
      <c r="B2646" s="412"/>
      <c r="C2646" s="421">
        <v>27</v>
      </c>
      <c r="D2646" s="185"/>
    </row>
    <row r="2647" spans="1:5" x14ac:dyDescent="0.25">
      <c r="A2647" s="184" t="s">
        <v>549</v>
      </c>
      <c r="B2647" s="424">
        <f>'BANG LUONG 1'!$P$3</f>
        <v>43733</v>
      </c>
    </row>
    <row r="2648" spans="1:5" x14ac:dyDescent="0.25">
      <c r="A2648" s="183" t="s">
        <v>1</v>
      </c>
      <c r="B2648" s="185" t="s">
        <v>163</v>
      </c>
      <c r="C2648" s="421">
        <v>1</v>
      </c>
      <c r="D2648" s="41"/>
    </row>
    <row r="2649" spans="1:5" x14ac:dyDescent="0.25">
      <c r="A2649" s="183" t="s">
        <v>2</v>
      </c>
      <c r="B2649" s="185" t="str">
        <f>VLOOKUP($B2648,'BANG LUONG 1'!$B$6:$AB$39,C2649,0)</f>
        <v>Lương Trường Giang</v>
      </c>
      <c r="C2649" s="421">
        <v>2</v>
      </c>
      <c r="D2649" s="41"/>
    </row>
    <row r="2650" spans="1:5" x14ac:dyDescent="0.25">
      <c r="A2650" s="421" t="s">
        <v>3</v>
      </c>
      <c r="B2650" s="41" t="str">
        <f>VLOOKUP($B2648,'BANG LUONG 1'!$B$6:$AJ$48,C2650,0)</f>
        <v xml:space="preserve">Công nhân </v>
      </c>
      <c r="C2650" s="421">
        <v>3</v>
      </c>
      <c r="D2650" s="41"/>
    </row>
    <row r="2651" spans="1:5" x14ac:dyDescent="0.25">
      <c r="A2651" s="421" t="s">
        <v>376</v>
      </c>
      <c r="B2651" s="410">
        <f>VLOOKUP($B2648,'BANG LUONG 1'!$B$5:$AJ$56,4,0)</f>
        <v>43619</v>
      </c>
      <c r="C2651" s="421">
        <v>4</v>
      </c>
      <c r="D2651" s="41"/>
    </row>
    <row r="2652" spans="1:5" x14ac:dyDescent="0.25">
      <c r="A2652" s="421" t="s">
        <v>698</v>
      </c>
      <c r="B2652" s="411">
        <f>VLOOKUP(B2648,'BANG LUONG 1'!$B$5:$AJ$56,6,0)</f>
        <v>0</v>
      </c>
      <c r="C2652" s="421">
        <v>5</v>
      </c>
      <c r="D2652" s="41"/>
    </row>
    <row r="2653" spans="1:5" x14ac:dyDescent="0.25">
      <c r="A2653" s="421" t="s">
        <v>229</v>
      </c>
      <c r="B2653" s="412">
        <f>'thang luong moi'!$F$5</f>
        <v>4012500</v>
      </c>
      <c r="C2653" s="421">
        <v>6</v>
      </c>
      <c r="D2653" s="41"/>
    </row>
    <row r="2654" spans="1:5" x14ac:dyDescent="0.25">
      <c r="A2654" s="421" t="s">
        <v>217</v>
      </c>
      <c r="B2654" s="412" t="str">
        <f>VLOOKUP(B2648,'BANG LUONG 1'!$B$5:$AJ$56,8,0)</f>
        <v>B.05</v>
      </c>
      <c r="C2654" s="421">
        <v>7</v>
      </c>
      <c r="D2654" s="41"/>
    </row>
    <row r="2655" spans="1:5" x14ac:dyDescent="0.25">
      <c r="A2655" s="421" t="s">
        <v>230</v>
      </c>
      <c r="B2655" s="412">
        <f>VLOOKUP(B2648,'BANG LUONG 1'!$B$5:$AJ$56,9,0)</f>
        <v>1</v>
      </c>
      <c r="C2655" s="421">
        <v>8</v>
      </c>
      <c r="D2655" s="41"/>
    </row>
    <row r="2656" spans="1:5" x14ac:dyDescent="0.25">
      <c r="A2656" s="421" t="s">
        <v>538</v>
      </c>
      <c r="B2656" s="412">
        <f>VLOOKUP(B2648,'BANG LUONG 1'!$B$5:$AJ$56,11,0)</f>
        <v>4213125</v>
      </c>
      <c r="C2656" s="421">
        <v>9</v>
      </c>
      <c r="D2656" s="41"/>
    </row>
    <row r="2657" spans="1:5" x14ac:dyDescent="0.25">
      <c r="A2657" s="421" t="s">
        <v>354</v>
      </c>
      <c r="B2657" s="412">
        <f>VLOOKUP(B2648,'BANG LUONG 1'!$B$5:$AJ$56,12,0)</f>
        <v>26</v>
      </c>
      <c r="C2657" s="421">
        <v>10</v>
      </c>
      <c r="D2657" s="41"/>
    </row>
    <row r="2658" spans="1:5" x14ac:dyDescent="0.25">
      <c r="A2658" s="421" t="s">
        <v>534</v>
      </c>
      <c r="B2658" s="412">
        <f>VLOOKUP(B2648,'BANG LUONG 1'!$B$5:$AJ$56,13,0)</f>
        <v>4213125</v>
      </c>
      <c r="C2658" s="421">
        <v>11</v>
      </c>
      <c r="D2658" s="41"/>
    </row>
    <row r="2659" spans="1:5" x14ac:dyDescent="0.25">
      <c r="A2659" s="421" t="s">
        <v>592</v>
      </c>
      <c r="B2659" s="412">
        <f>VLOOKUP(B2648,'BANG LUONG 1'!$B$5:$AJ$56,14,0)</f>
        <v>0</v>
      </c>
      <c r="C2659" s="421">
        <v>12</v>
      </c>
      <c r="D2659" s="41">
        <f>B2656/26*B2659</f>
        <v>0</v>
      </c>
    </row>
    <row r="2660" spans="1:5" x14ac:dyDescent="0.25">
      <c r="A2660" s="421" t="s">
        <v>357</v>
      </c>
      <c r="B2660" s="412">
        <f>VLOOKUP(B2648,'BANG LUONG 1'!$B$5:$AJ$56,15,0)</f>
        <v>18</v>
      </c>
      <c r="C2660" s="421">
        <v>13</v>
      </c>
      <c r="D2660" s="41">
        <f>B2656/26/8*1.5*B2660</f>
        <v>546896.03365384613</v>
      </c>
    </row>
    <row r="2661" spans="1:5" x14ac:dyDescent="0.25">
      <c r="A2661" s="421" t="s">
        <v>387</v>
      </c>
      <c r="B2661" s="412">
        <f>VLOOKUP(B2648,'BANG LUONG 1'!$B$5:$AJ$56,16,0)</f>
        <v>16</v>
      </c>
      <c r="C2661" s="421">
        <v>14</v>
      </c>
      <c r="D2661" s="41">
        <f>B2656/26/8*2*B2661</f>
        <v>648173.07692307688</v>
      </c>
    </row>
    <row r="2662" spans="1:5" x14ac:dyDescent="0.25">
      <c r="A2662" s="421" t="s">
        <v>593</v>
      </c>
      <c r="B2662" s="412">
        <f>VLOOKUP(B2648,'BANG LUONG 1'!$B$5:$AJ$56,17,0)</f>
        <v>1</v>
      </c>
      <c r="C2662" s="421"/>
      <c r="D2662" s="41">
        <f>(B2656/26)*B2662</f>
        <v>162043.26923076922</v>
      </c>
    </row>
    <row r="2663" spans="1:5" x14ac:dyDescent="0.25">
      <c r="A2663" s="421" t="s">
        <v>388</v>
      </c>
      <c r="B2663" s="412">
        <f>VLOOKUP(B2648,'BANG LUONG 1'!$B$5:$AJ$56,18,0)</f>
        <v>0</v>
      </c>
      <c r="C2663" s="421">
        <v>15</v>
      </c>
      <c r="D2663" s="41">
        <f>(B2656/26*B2663)*3</f>
        <v>0</v>
      </c>
    </row>
    <row r="2664" spans="1:5" x14ac:dyDescent="0.25">
      <c r="A2664" s="421" t="s">
        <v>533</v>
      </c>
      <c r="B2664" s="412">
        <f>VLOOKUP(B2648,'BANG LUONG 1'!$B$5:$AJ$56,19,0)</f>
        <v>5570237.379807692</v>
      </c>
      <c r="C2664" s="183">
        <v>16</v>
      </c>
      <c r="D2664" s="185">
        <f>B2658+D2660+D2661+D2659+D2663+D2662</f>
        <v>5570237.379807692</v>
      </c>
      <c r="E2664" s="108"/>
    </row>
    <row r="2665" spans="1:5" x14ac:dyDescent="0.25">
      <c r="A2665" s="421" t="s">
        <v>535</v>
      </c>
      <c r="B2665" s="412">
        <f>VLOOKUP(B2648,'BANG LUONG 1'!$B$5:$AJ$56,20,0)</f>
        <v>8277233.0128205121</v>
      </c>
      <c r="C2665" s="421">
        <v>17</v>
      </c>
      <c r="D2665" s="41"/>
    </row>
    <row r="2666" spans="1:5" x14ac:dyDescent="0.25">
      <c r="A2666" s="421" t="s">
        <v>370</v>
      </c>
      <c r="B2666" s="412">
        <f>VLOOKUP(B2648,'BANG LUONG 1'!$B$5:$AJ$56,22,0)</f>
        <v>0</v>
      </c>
      <c r="C2666" s="421">
        <v>18</v>
      </c>
      <c r="D2666" s="41"/>
    </row>
    <row r="2667" spans="1:5" x14ac:dyDescent="0.25">
      <c r="A2667" s="421" t="s">
        <v>371</v>
      </c>
      <c r="B2667" s="412">
        <f>VLOOKUP(B2648,'BANG LUONG 1'!$B$5:$AJ$56,23,0)</f>
        <v>300000</v>
      </c>
      <c r="C2667" s="421">
        <v>19</v>
      </c>
      <c r="D2667" s="41"/>
    </row>
    <row r="2668" spans="1:5" x14ac:dyDescent="0.25">
      <c r="A2668" s="421" t="s">
        <v>560</v>
      </c>
      <c r="B2668" s="412">
        <f>VLOOKUP(B2648,'BANG LUONG 1'!$B$5:$AJ$56,24,0)</f>
        <v>0</v>
      </c>
      <c r="C2668" s="421">
        <v>22</v>
      </c>
      <c r="D2668" s="41"/>
    </row>
    <row r="2669" spans="1:5" x14ac:dyDescent="0.25">
      <c r="A2669" s="183" t="s">
        <v>237</v>
      </c>
      <c r="B2669" s="415">
        <f>VLOOKUP(B2648,'BANG LUONG 1'!$B$5:$AJ$56,26,0)</f>
        <v>14147470.392628204</v>
      </c>
      <c r="C2669" s="421">
        <v>24</v>
      </c>
      <c r="D2669" s="41"/>
    </row>
    <row r="2670" spans="1:5" x14ac:dyDescent="0.25">
      <c r="A2670" s="421" t="s">
        <v>545</v>
      </c>
      <c r="B2670" s="412">
        <f>VLOOKUP(B2648,'BANG LUONG 1'!$B$5:$AJ$56,27,0)</f>
        <v>0</v>
      </c>
      <c r="C2670" s="421">
        <v>25</v>
      </c>
      <c r="D2670" s="41"/>
    </row>
    <row r="2671" spans="1:5" x14ac:dyDescent="0.25">
      <c r="A2671" s="421" t="s">
        <v>544</v>
      </c>
      <c r="B2671" s="412">
        <f>VLOOKUP(B2648,'BANG LUONG 1'!$B$5:$AJ$56,28,0)</f>
        <v>0</v>
      </c>
      <c r="C2671" s="421">
        <v>26</v>
      </c>
      <c r="D2671" s="41"/>
    </row>
    <row r="2672" spans="1:5" x14ac:dyDescent="0.25">
      <c r="A2672" s="421" t="s">
        <v>712</v>
      </c>
      <c r="B2672" s="415">
        <f>VLOOKUP(B2648,'BANG LUONG 1'!$B$5:$AJ$56,32,0)</f>
        <v>0</v>
      </c>
      <c r="C2672" s="421"/>
      <c r="D2672" s="41"/>
    </row>
    <row r="2673" spans="1:5" x14ac:dyDescent="0.25">
      <c r="A2673" s="421" t="s">
        <v>713</v>
      </c>
      <c r="B2673" s="415">
        <f>VLOOKUP(B2648,'BANG LUONG 1'!$B$5:$AJ$56,33,0)</f>
        <v>132000</v>
      </c>
      <c r="C2673" s="421"/>
      <c r="D2673" s="41"/>
    </row>
    <row r="2674" spans="1:5" x14ac:dyDescent="0.25">
      <c r="A2674" s="183" t="s">
        <v>707</v>
      </c>
      <c r="B2674" s="415">
        <f>VLOOKUP(B2648,'BANG LUONG 1'!$B$5:$AJ$56,34,0)</f>
        <v>0</v>
      </c>
      <c r="C2674" s="421"/>
      <c r="D2674" s="41"/>
      <c r="E2674" s="108" t="str">
        <f>B2649</f>
        <v>Lương Trường Giang</v>
      </c>
    </row>
    <row r="2675" spans="1:5" x14ac:dyDescent="0.25">
      <c r="A2675" s="183" t="s">
        <v>546</v>
      </c>
      <c r="B2675" s="415">
        <f>VLOOKUP(B2648,'BANG LUONG 1'!$B$5:$AJ$56,35,0)</f>
        <v>14379000</v>
      </c>
      <c r="C2675" s="421"/>
      <c r="D2675" s="41"/>
    </row>
    <row r="2676" spans="1:5" x14ac:dyDescent="0.25">
      <c r="A2676" s="183"/>
      <c r="B2676" s="412"/>
      <c r="C2676" s="421">
        <v>27</v>
      </c>
      <c r="D2676" s="185"/>
    </row>
    <row r="2677" spans="1:5" x14ac:dyDescent="0.25">
      <c r="A2677" s="184" t="s">
        <v>549</v>
      </c>
      <c r="B2677" s="424">
        <f>'BANG LUONG 1'!$P$3</f>
        <v>43733</v>
      </c>
    </row>
    <row r="2678" spans="1:5" x14ac:dyDescent="0.25">
      <c r="A2678" s="183" t="s">
        <v>1</v>
      </c>
      <c r="B2678" s="185" t="s">
        <v>163</v>
      </c>
      <c r="C2678" s="421">
        <v>1</v>
      </c>
      <c r="D2678" s="41"/>
    </row>
    <row r="2679" spans="1:5" x14ac:dyDescent="0.25">
      <c r="A2679" s="183" t="s">
        <v>2</v>
      </c>
      <c r="B2679" s="185" t="str">
        <f>VLOOKUP($B2678,'BANG LUONG 1'!$B$6:$AB$39,C2679,0)</f>
        <v>Lương Trường Giang</v>
      </c>
      <c r="C2679" s="421">
        <v>2</v>
      </c>
      <c r="D2679" s="41"/>
    </row>
    <row r="2680" spans="1:5" x14ac:dyDescent="0.25">
      <c r="A2680" s="421" t="s">
        <v>3</v>
      </c>
      <c r="B2680" s="41" t="str">
        <f>VLOOKUP($B2678,'BANG LUONG 1'!$B$6:$AJ$48,C2680,0)</f>
        <v xml:space="preserve">Công nhân </v>
      </c>
      <c r="C2680" s="421">
        <v>3</v>
      </c>
      <c r="D2680" s="41"/>
    </row>
    <row r="2681" spans="1:5" x14ac:dyDescent="0.25">
      <c r="A2681" s="421" t="s">
        <v>376</v>
      </c>
      <c r="B2681" s="410">
        <f>VLOOKUP($B2678,'BANG LUONG 1'!$B$5:$AJ$56,4,0)</f>
        <v>43619</v>
      </c>
      <c r="C2681" s="421">
        <v>4</v>
      </c>
      <c r="D2681" s="41"/>
    </row>
    <row r="2682" spans="1:5" x14ac:dyDescent="0.25">
      <c r="A2682" s="421" t="s">
        <v>698</v>
      </c>
      <c r="B2682" s="411">
        <f>VLOOKUP(B2678,'BANG LUONG 1'!$B$5:$AJ$56,6,0)</f>
        <v>0</v>
      </c>
      <c r="C2682" s="421">
        <v>5</v>
      </c>
      <c r="D2682" s="41"/>
    </row>
    <row r="2683" spans="1:5" x14ac:dyDescent="0.25">
      <c r="A2683" s="421" t="s">
        <v>229</v>
      </c>
      <c r="B2683" s="412">
        <f>'thang luong moi'!$F$5</f>
        <v>4012500</v>
      </c>
      <c r="C2683" s="421">
        <v>6</v>
      </c>
      <c r="D2683" s="41"/>
    </row>
    <row r="2684" spans="1:5" x14ac:dyDescent="0.25">
      <c r="A2684" s="421" t="s">
        <v>217</v>
      </c>
      <c r="B2684" s="412" t="str">
        <f>VLOOKUP(B2678,'BANG LUONG 1'!$B$5:$AJ$56,8,0)</f>
        <v>B.05</v>
      </c>
      <c r="C2684" s="421">
        <v>7</v>
      </c>
      <c r="D2684" s="41"/>
    </row>
    <row r="2685" spans="1:5" x14ac:dyDescent="0.25">
      <c r="A2685" s="421" t="s">
        <v>230</v>
      </c>
      <c r="B2685" s="412">
        <f>VLOOKUP(B2678,'BANG LUONG 1'!$B$5:$AJ$56,9,0)</f>
        <v>1</v>
      </c>
      <c r="C2685" s="421">
        <v>8</v>
      </c>
      <c r="D2685" s="41"/>
    </row>
    <row r="2686" spans="1:5" x14ac:dyDescent="0.25">
      <c r="A2686" s="421" t="s">
        <v>538</v>
      </c>
      <c r="B2686" s="412">
        <f>VLOOKUP(B2678,'BANG LUONG 1'!$B$5:$AJ$56,11,0)</f>
        <v>4213125</v>
      </c>
      <c r="C2686" s="421">
        <v>9</v>
      </c>
      <c r="D2686" s="41"/>
    </row>
    <row r="2687" spans="1:5" x14ac:dyDescent="0.25">
      <c r="A2687" s="421" t="s">
        <v>354</v>
      </c>
      <c r="B2687" s="412">
        <f>VLOOKUP(B2678,'BANG LUONG 1'!$B$5:$AJ$56,12,0)</f>
        <v>26</v>
      </c>
      <c r="C2687" s="421">
        <v>10</v>
      </c>
      <c r="D2687" s="41"/>
    </row>
    <row r="2688" spans="1:5" x14ac:dyDescent="0.25">
      <c r="A2688" s="421" t="s">
        <v>534</v>
      </c>
      <c r="B2688" s="412">
        <f>VLOOKUP(B2678,'BANG LUONG 1'!$B$5:$AJ$56,13,0)</f>
        <v>4213125</v>
      </c>
      <c r="C2688" s="421">
        <v>11</v>
      </c>
      <c r="D2688" s="41"/>
    </row>
    <row r="2689" spans="1:5" x14ac:dyDescent="0.25">
      <c r="A2689" s="421" t="s">
        <v>592</v>
      </c>
      <c r="B2689" s="412">
        <f>VLOOKUP(B2678,'BANG LUONG 1'!$B$5:$AJ$56,14,0)</f>
        <v>0</v>
      </c>
      <c r="C2689" s="421">
        <v>12</v>
      </c>
      <c r="D2689" s="41">
        <f>B2686/26*B2689</f>
        <v>0</v>
      </c>
    </row>
    <row r="2690" spans="1:5" x14ac:dyDescent="0.25">
      <c r="A2690" s="421" t="s">
        <v>357</v>
      </c>
      <c r="B2690" s="412">
        <f>VLOOKUP(B2678,'BANG LUONG 1'!$B$5:$AJ$56,15,0)</f>
        <v>18</v>
      </c>
      <c r="C2690" s="421">
        <v>13</v>
      </c>
      <c r="D2690" s="41">
        <f>B2686/26/8*1.5*B2690</f>
        <v>546896.03365384613</v>
      </c>
    </row>
    <row r="2691" spans="1:5" x14ac:dyDescent="0.25">
      <c r="A2691" s="421" t="s">
        <v>387</v>
      </c>
      <c r="B2691" s="412">
        <f>VLOOKUP(B2678,'BANG LUONG 1'!$B$5:$AJ$56,16,0)</f>
        <v>16</v>
      </c>
      <c r="C2691" s="421">
        <v>14</v>
      </c>
      <c r="D2691" s="41">
        <f>B2686/26/8*2*B2691</f>
        <v>648173.07692307688</v>
      </c>
    </row>
    <row r="2692" spans="1:5" x14ac:dyDescent="0.25">
      <c r="A2692" s="421" t="s">
        <v>593</v>
      </c>
      <c r="B2692" s="412">
        <f>VLOOKUP(B2678,'BANG LUONG 1'!$B$5:$AJ$56,17,0)</f>
        <v>1</v>
      </c>
      <c r="C2692" s="421"/>
      <c r="D2692" s="41">
        <f>(B2686/26)*B2692</f>
        <v>162043.26923076922</v>
      </c>
    </row>
    <row r="2693" spans="1:5" x14ac:dyDescent="0.25">
      <c r="A2693" s="421" t="s">
        <v>388</v>
      </c>
      <c r="B2693" s="412">
        <f>VLOOKUP(B2678,'BANG LUONG 1'!$B$5:$AJ$56,18,0)</f>
        <v>0</v>
      </c>
      <c r="C2693" s="421">
        <v>15</v>
      </c>
      <c r="D2693" s="41">
        <f>(B2686/26*B2693)*3</f>
        <v>0</v>
      </c>
    </row>
    <row r="2694" spans="1:5" x14ac:dyDescent="0.25">
      <c r="A2694" s="421" t="s">
        <v>533</v>
      </c>
      <c r="B2694" s="412">
        <f>VLOOKUP(B2678,'BANG LUONG 1'!$B$5:$AJ$56,19,0)</f>
        <v>5570237.379807692</v>
      </c>
      <c r="C2694" s="183">
        <v>16</v>
      </c>
      <c r="D2694" s="185">
        <f>B2688+D2690+D2691+D2689+D2693+D2692</f>
        <v>5570237.379807692</v>
      </c>
      <c r="E2694" s="108"/>
    </row>
    <row r="2695" spans="1:5" x14ac:dyDescent="0.25">
      <c r="A2695" s="421" t="s">
        <v>535</v>
      </c>
      <c r="B2695" s="412">
        <f>VLOOKUP(B2678,'BANG LUONG 1'!$B$5:$AJ$56,20,0)</f>
        <v>8277233.0128205121</v>
      </c>
      <c r="C2695" s="421">
        <v>17</v>
      </c>
      <c r="D2695" s="41"/>
    </row>
    <row r="2696" spans="1:5" x14ac:dyDescent="0.25">
      <c r="A2696" s="421" t="s">
        <v>370</v>
      </c>
      <c r="B2696" s="412">
        <f>VLOOKUP(B2678,'BANG LUONG 1'!$B$5:$AJ$56,22,0)</f>
        <v>0</v>
      </c>
      <c r="C2696" s="421">
        <v>18</v>
      </c>
      <c r="D2696" s="41"/>
    </row>
    <row r="2697" spans="1:5" x14ac:dyDescent="0.25">
      <c r="A2697" s="421" t="s">
        <v>371</v>
      </c>
      <c r="B2697" s="412">
        <f>VLOOKUP(B2678,'BANG LUONG 1'!$B$5:$AJ$56,23,0)</f>
        <v>300000</v>
      </c>
      <c r="C2697" s="421">
        <v>19</v>
      </c>
      <c r="D2697" s="41"/>
    </row>
    <row r="2698" spans="1:5" x14ac:dyDescent="0.25">
      <c r="A2698" s="421" t="s">
        <v>560</v>
      </c>
      <c r="B2698" s="412">
        <f>VLOOKUP(B2678,'BANG LUONG 1'!$B$5:$AJ$56,24,0)</f>
        <v>0</v>
      </c>
      <c r="C2698" s="421">
        <v>22</v>
      </c>
      <c r="D2698" s="41"/>
    </row>
    <row r="2699" spans="1:5" x14ac:dyDescent="0.25">
      <c r="A2699" s="183" t="s">
        <v>237</v>
      </c>
      <c r="B2699" s="415">
        <f>VLOOKUP(B2678,'BANG LUONG 1'!$B$5:$AJ$56,26,0)</f>
        <v>14147470.392628204</v>
      </c>
      <c r="C2699" s="421">
        <v>24</v>
      </c>
      <c r="D2699" s="41"/>
    </row>
    <row r="2700" spans="1:5" x14ac:dyDescent="0.25">
      <c r="A2700" s="421" t="s">
        <v>545</v>
      </c>
      <c r="B2700" s="412">
        <f>VLOOKUP(B2678,'BANG LUONG 1'!$B$5:$AJ$56,27,0)</f>
        <v>0</v>
      </c>
      <c r="C2700" s="421">
        <v>25</v>
      </c>
      <c r="D2700" s="41"/>
    </row>
    <row r="2701" spans="1:5" x14ac:dyDescent="0.25">
      <c r="A2701" s="421" t="s">
        <v>544</v>
      </c>
      <c r="B2701" s="412">
        <f>VLOOKUP(B2678,'BANG LUONG 1'!$B$5:$AJ$56,28,0)</f>
        <v>0</v>
      </c>
      <c r="C2701" s="421">
        <v>26</v>
      </c>
      <c r="D2701" s="41"/>
    </row>
    <row r="2702" spans="1:5" x14ac:dyDescent="0.25">
      <c r="A2702" s="421" t="s">
        <v>712</v>
      </c>
      <c r="B2702" s="415">
        <f>VLOOKUP(B2678,'BANG LUONG 1'!$B$5:$AJ$56,32,0)</f>
        <v>0</v>
      </c>
      <c r="C2702" s="421"/>
      <c r="D2702" s="41"/>
    </row>
    <row r="2703" spans="1:5" x14ac:dyDescent="0.25">
      <c r="A2703" s="421" t="s">
        <v>713</v>
      </c>
      <c r="B2703" s="415">
        <f>VLOOKUP(B2678,'BANG LUONG 1'!$B$5:$AJ$56,33,0)</f>
        <v>132000</v>
      </c>
      <c r="C2703" s="421"/>
      <c r="D2703" s="41"/>
    </row>
    <row r="2704" spans="1:5" x14ac:dyDescent="0.25">
      <c r="A2704" s="183" t="s">
        <v>707</v>
      </c>
      <c r="B2704" s="415">
        <f>VLOOKUP(B2678,'BANG LUONG 1'!$B$5:$AJ$56,34,0)</f>
        <v>0</v>
      </c>
      <c r="C2704" s="421"/>
      <c r="D2704" s="41"/>
      <c r="E2704" s="108" t="str">
        <f>B2679</f>
        <v>Lương Trường Giang</v>
      </c>
    </row>
    <row r="2705" spans="1:4" x14ac:dyDescent="0.25">
      <c r="A2705" s="183" t="s">
        <v>546</v>
      </c>
      <c r="B2705" s="415">
        <f>VLOOKUP(B2678,'BANG LUONG 1'!$B$5:$AJ$56,35,0)</f>
        <v>14379000</v>
      </c>
      <c r="C2705" s="421"/>
      <c r="D2705" s="41"/>
    </row>
    <row r="2706" spans="1:4" x14ac:dyDescent="0.25">
      <c r="A2706" s="183"/>
      <c r="B2706" s="412"/>
      <c r="C2706" s="421">
        <v>27</v>
      </c>
      <c r="D2706" s="185"/>
    </row>
    <row r="2707" spans="1:4" x14ac:dyDescent="0.25">
      <c r="A2707" s="184" t="s">
        <v>549</v>
      </c>
      <c r="B2707" s="424">
        <f>'BANG LUONG 1'!$P$3</f>
        <v>43733</v>
      </c>
    </row>
    <row r="2708" spans="1:4" x14ac:dyDescent="0.25">
      <c r="A2708" s="183" t="s">
        <v>1</v>
      </c>
      <c r="B2708" s="185" t="s">
        <v>164</v>
      </c>
      <c r="C2708" s="421">
        <v>1</v>
      </c>
      <c r="D2708" s="41"/>
    </row>
    <row r="2709" spans="1:4" x14ac:dyDescent="0.25">
      <c r="A2709" s="183" t="s">
        <v>2</v>
      </c>
      <c r="B2709" s="185" t="str">
        <f>VLOOKUP($B2708,'BANG LUONG 1'!$B$6:$AB$51,C2709,0)</f>
        <v>Bùi Trọng Nghĩa</v>
      </c>
      <c r="C2709" s="421">
        <v>2</v>
      </c>
      <c r="D2709" s="41"/>
    </row>
    <row r="2710" spans="1:4" x14ac:dyDescent="0.25">
      <c r="A2710" s="421" t="s">
        <v>3</v>
      </c>
      <c r="B2710" s="41" t="str">
        <f>VLOOKUP($B2708,'BANG LUONG 1'!$B$6:$AJ$48,C2710,0)</f>
        <v xml:space="preserve">Công nhân </v>
      </c>
      <c r="C2710" s="421">
        <v>3</v>
      </c>
      <c r="D2710" s="41"/>
    </row>
    <row r="2711" spans="1:4" x14ac:dyDescent="0.25">
      <c r="A2711" s="421" t="s">
        <v>376</v>
      </c>
      <c r="B2711" s="410">
        <f>VLOOKUP($B2708,'BANG LUONG 1'!$B$5:$AJ$56,4,0)</f>
        <v>43620</v>
      </c>
      <c r="C2711" s="421">
        <v>4</v>
      </c>
      <c r="D2711" s="41"/>
    </row>
    <row r="2712" spans="1:4" x14ac:dyDescent="0.25">
      <c r="A2712" s="421" t="s">
        <v>698</v>
      </c>
      <c r="B2712" s="411">
        <f>VLOOKUP(B2708,'BANG LUONG 1'!$B$5:$AJ$56,6,0)</f>
        <v>0</v>
      </c>
      <c r="C2712" s="421">
        <v>5</v>
      </c>
      <c r="D2712" s="41"/>
    </row>
    <row r="2713" spans="1:4" x14ac:dyDescent="0.25">
      <c r="A2713" s="421" t="s">
        <v>229</v>
      </c>
      <c r="B2713" s="412">
        <f>'thang luong moi'!$F$5</f>
        <v>4012500</v>
      </c>
      <c r="C2713" s="421">
        <v>6</v>
      </c>
      <c r="D2713" s="41"/>
    </row>
    <row r="2714" spans="1:4" x14ac:dyDescent="0.25">
      <c r="A2714" s="421" t="s">
        <v>217</v>
      </c>
      <c r="B2714" s="412" t="str">
        <f>VLOOKUP(B2708,'BANG LUONG 1'!$B$5:$AJ$56,8,0)</f>
        <v>B.05</v>
      </c>
      <c r="C2714" s="421">
        <v>7</v>
      </c>
      <c r="D2714" s="41"/>
    </row>
    <row r="2715" spans="1:4" x14ac:dyDescent="0.25">
      <c r="A2715" s="421" t="s">
        <v>230</v>
      </c>
      <c r="B2715" s="412">
        <f>VLOOKUP(B2708,'BANG LUONG 1'!$B$5:$AJ$56,9,0)</f>
        <v>1</v>
      </c>
      <c r="C2715" s="421">
        <v>8</v>
      </c>
      <c r="D2715" s="41"/>
    </row>
    <row r="2716" spans="1:4" x14ac:dyDescent="0.25">
      <c r="A2716" s="421" t="s">
        <v>538</v>
      </c>
      <c r="B2716" s="412">
        <f>VLOOKUP(B2708,'BANG LUONG 1'!$B$5:$AJ$56,11,0)</f>
        <v>4213125</v>
      </c>
      <c r="C2716" s="421">
        <v>9</v>
      </c>
      <c r="D2716" s="41"/>
    </row>
    <row r="2717" spans="1:4" x14ac:dyDescent="0.25">
      <c r="A2717" s="421" t="s">
        <v>354</v>
      </c>
      <c r="B2717" s="412">
        <f>VLOOKUP(B2708,'BANG LUONG 1'!$B$5:$AJ$56,12,0)</f>
        <v>0</v>
      </c>
      <c r="C2717" s="421">
        <v>10</v>
      </c>
      <c r="D2717" s="41"/>
    </row>
    <row r="2718" spans="1:4" x14ac:dyDescent="0.25">
      <c r="A2718" s="421" t="s">
        <v>534</v>
      </c>
      <c r="B2718" s="412">
        <f>VLOOKUP(B2708,'BANG LUONG 1'!$B$5:$AJ$56,13,0)</f>
        <v>0</v>
      </c>
      <c r="C2718" s="421">
        <v>11</v>
      </c>
      <c r="D2718" s="41"/>
    </row>
    <row r="2719" spans="1:4" x14ac:dyDescent="0.25">
      <c r="A2719" s="421" t="s">
        <v>592</v>
      </c>
      <c r="B2719" s="412">
        <f>VLOOKUP(B2708,'BANG LUONG 1'!$B$5:$AJ$56,14,0)</f>
        <v>0</v>
      </c>
      <c r="C2719" s="421">
        <v>12</v>
      </c>
      <c r="D2719" s="41">
        <f>B2716/26*B2719</f>
        <v>0</v>
      </c>
    </row>
    <row r="2720" spans="1:4" x14ac:dyDescent="0.25">
      <c r="A2720" s="421" t="s">
        <v>357</v>
      </c>
      <c r="B2720" s="412">
        <f>VLOOKUP(B2708,'BANG LUONG 1'!$B$5:$AJ$56,15,0)</f>
        <v>0</v>
      </c>
      <c r="C2720" s="421">
        <v>13</v>
      </c>
      <c r="D2720" s="41">
        <f>B2716/26/8*1.5*B2720</f>
        <v>0</v>
      </c>
    </row>
    <row r="2721" spans="1:5" x14ac:dyDescent="0.25">
      <c r="A2721" s="421" t="s">
        <v>387</v>
      </c>
      <c r="B2721" s="412">
        <f>VLOOKUP(B2708,'BANG LUONG 1'!$B$5:$AJ$56,16,0)</f>
        <v>0</v>
      </c>
      <c r="C2721" s="421">
        <v>14</v>
      </c>
      <c r="D2721" s="41">
        <f>B2716/26/8*2*B2721</f>
        <v>0</v>
      </c>
    </row>
    <row r="2722" spans="1:5" x14ac:dyDescent="0.25">
      <c r="A2722" s="421" t="s">
        <v>593</v>
      </c>
      <c r="B2722" s="412">
        <f>VLOOKUP(B2708,'BANG LUONG 1'!$B$5:$AJ$56,17,0)</f>
        <v>0</v>
      </c>
      <c r="C2722" s="421"/>
      <c r="D2722" s="41">
        <f>(B2716/26)*B2722</f>
        <v>0</v>
      </c>
    </row>
    <row r="2723" spans="1:5" x14ac:dyDescent="0.25">
      <c r="A2723" s="421" t="s">
        <v>388</v>
      </c>
      <c r="B2723" s="412">
        <f>VLOOKUP(B2708,'BANG LUONG 1'!$B$5:$AJ$56,18,0)</f>
        <v>0</v>
      </c>
      <c r="C2723" s="421">
        <v>15</v>
      </c>
      <c r="D2723" s="41">
        <f>(B2716/26*B2723)*3</f>
        <v>0</v>
      </c>
    </row>
    <row r="2724" spans="1:5" x14ac:dyDescent="0.25">
      <c r="A2724" s="421" t="s">
        <v>533</v>
      </c>
      <c r="B2724" s="412">
        <f>VLOOKUP(B2708,'BANG LUONG 1'!$B$5:$AJ$56,19,0)</f>
        <v>0</v>
      </c>
      <c r="C2724" s="183">
        <v>16</v>
      </c>
      <c r="D2724" s="185">
        <f>B2718+D2720+D2721+D2719+D2723+D2722</f>
        <v>0</v>
      </c>
      <c r="E2724" s="108"/>
    </row>
    <row r="2725" spans="1:5" x14ac:dyDescent="0.25">
      <c r="A2725" s="421" t="s">
        <v>535</v>
      </c>
      <c r="B2725" s="412">
        <f>VLOOKUP(B2708,'BANG LUONG 1'!$B$5:$AJ$56,20,0)</f>
        <v>0</v>
      </c>
      <c r="C2725" s="421">
        <v>17</v>
      </c>
      <c r="D2725" s="41"/>
    </row>
    <row r="2726" spans="1:5" x14ac:dyDescent="0.25">
      <c r="A2726" s="421" t="s">
        <v>370</v>
      </c>
      <c r="B2726" s="412">
        <f>VLOOKUP(B2708,'BANG LUONG 1'!$B$5:$AJ$56,22,0)</f>
        <v>0</v>
      </c>
      <c r="C2726" s="421">
        <v>18</v>
      </c>
      <c r="D2726" s="41"/>
    </row>
    <row r="2727" spans="1:5" x14ac:dyDescent="0.25">
      <c r="A2727" s="421" t="s">
        <v>371</v>
      </c>
      <c r="B2727" s="412">
        <f>VLOOKUP(B2708,'BANG LUONG 1'!$B$5:$AJ$56,23,0)</f>
        <v>0</v>
      </c>
      <c r="C2727" s="421">
        <v>19</v>
      </c>
      <c r="D2727" s="41"/>
    </row>
    <row r="2728" spans="1:5" x14ac:dyDescent="0.25">
      <c r="A2728" s="421" t="s">
        <v>560</v>
      </c>
      <c r="B2728" s="412">
        <f>VLOOKUP(B2708,'BANG LUONG 1'!$B$5:$AJ$56,24,0)</f>
        <v>0</v>
      </c>
      <c r="C2728" s="421">
        <v>22</v>
      </c>
      <c r="D2728" s="41"/>
    </row>
    <row r="2729" spans="1:5" x14ac:dyDescent="0.25">
      <c r="A2729" s="183" t="s">
        <v>237</v>
      </c>
      <c r="B2729" s="415">
        <f>VLOOKUP(B2708,'BANG LUONG 1'!$B$5:$AJ$56,26,0)</f>
        <v>0</v>
      </c>
      <c r="C2729" s="421">
        <v>24</v>
      </c>
      <c r="D2729" s="41"/>
    </row>
    <row r="2730" spans="1:5" x14ac:dyDescent="0.25">
      <c r="A2730" s="421" t="s">
        <v>545</v>
      </c>
      <c r="B2730" s="412">
        <f>VLOOKUP(B2708,'BANG LUONG 1'!$B$5:$AJ$56,27,0)</f>
        <v>0</v>
      </c>
      <c r="C2730" s="421">
        <v>25</v>
      </c>
      <c r="D2730" s="41"/>
    </row>
    <row r="2731" spans="1:5" x14ac:dyDescent="0.25">
      <c r="A2731" s="421" t="s">
        <v>544</v>
      </c>
      <c r="B2731" s="412">
        <f>VLOOKUP(B2708,'BANG LUONG 1'!$B$5:$AJ$56,28,0)</f>
        <v>0</v>
      </c>
      <c r="C2731" s="421">
        <v>26</v>
      </c>
      <c r="D2731" s="41"/>
    </row>
    <row r="2732" spans="1:5" x14ac:dyDescent="0.25">
      <c r="A2732" s="421" t="s">
        <v>712</v>
      </c>
      <c r="B2732" s="415">
        <f>VLOOKUP(B2708,'BANG LUONG 1'!$B$5:$AJ$56,32,0)</f>
        <v>0</v>
      </c>
      <c r="C2732" s="421"/>
      <c r="D2732" s="41"/>
    </row>
    <row r="2733" spans="1:5" x14ac:dyDescent="0.25">
      <c r="A2733" s="421" t="s">
        <v>713</v>
      </c>
      <c r="B2733" s="415">
        <f>VLOOKUP(B2708,'BANG LUONG 1'!$B$5:$AJ$56,33,0)</f>
        <v>0</v>
      </c>
      <c r="C2733" s="421"/>
      <c r="D2733" s="41"/>
    </row>
    <row r="2734" spans="1:5" x14ac:dyDescent="0.25">
      <c r="A2734" s="183" t="s">
        <v>707</v>
      </c>
      <c r="B2734" s="415">
        <f>VLOOKUP(B2708,'BANG LUONG 1'!$B$5:$AJ$56,34,0)</f>
        <v>0</v>
      </c>
      <c r="C2734" s="421"/>
      <c r="D2734" s="41"/>
      <c r="E2734" s="108" t="str">
        <f>B2709</f>
        <v>Bùi Trọng Nghĩa</v>
      </c>
    </row>
    <row r="2735" spans="1:5" x14ac:dyDescent="0.25">
      <c r="A2735" s="183" t="s">
        <v>546</v>
      </c>
      <c r="B2735" s="415">
        <f>VLOOKUP(B2708,'BANG LUONG 1'!$B$5:$AJ$56,35,0)</f>
        <v>0</v>
      </c>
      <c r="C2735" s="421"/>
      <c r="D2735" s="41"/>
    </row>
    <row r="2736" spans="1:5" x14ac:dyDescent="0.25">
      <c r="A2736" s="183"/>
      <c r="B2736" s="412"/>
      <c r="C2736" s="421">
        <v>27</v>
      </c>
      <c r="D2736" s="185"/>
    </row>
    <row r="2737" spans="1:4" x14ac:dyDescent="0.25">
      <c r="A2737" s="184" t="s">
        <v>549</v>
      </c>
      <c r="B2737" s="424">
        <f>'BANG LUONG 1'!$P$3</f>
        <v>43733</v>
      </c>
    </row>
    <row r="2738" spans="1:4" x14ac:dyDescent="0.25">
      <c r="A2738" s="183" t="s">
        <v>1</v>
      </c>
      <c r="B2738" s="185" t="s">
        <v>164</v>
      </c>
      <c r="C2738" s="421">
        <v>1</v>
      </c>
      <c r="D2738" s="41"/>
    </row>
    <row r="2739" spans="1:4" x14ac:dyDescent="0.25">
      <c r="A2739" s="183" t="s">
        <v>2</v>
      </c>
      <c r="B2739" s="185" t="str">
        <f>VLOOKUP($B2738,'BANG LUONG 1'!$B$6:$AB$51,C2739,0)</f>
        <v>Bùi Trọng Nghĩa</v>
      </c>
      <c r="C2739" s="421">
        <v>2</v>
      </c>
      <c r="D2739" s="41"/>
    </row>
    <row r="2740" spans="1:4" x14ac:dyDescent="0.25">
      <c r="A2740" s="421" t="s">
        <v>3</v>
      </c>
      <c r="B2740" s="41" t="str">
        <f>VLOOKUP($B2738,'BANG LUONG 1'!$B$6:$AJ$48,C2740,0)</f>
        <v xml:space="preserve">Công nhân </v>
      </c>
      <c r="C2740" s="421">
        <v>3</v>
      </c>
      <c r="D2740" s="41"/>
    </row>
    <row r="2741" spans="1:4" x14ac:dyDescent="0.25">
      <c r="A2741" s="421" t="s">
        <v>376</v>
      </c>
      <c r="B2741" s="410">
        <f>VLOOKUP($B2738,'BANG LUONG 1'!$B$5:$AJ$56,4,0)</f>
        <v>43620</v>
      </c>
      <c r="C2741" s="421">
        <v>4</v>
      </c>
      <c r="D2741" s="41"/>
    </row>
    <row r="2742" spans="1:4" x14ac:dyDescent="0.25">
      <c r="A2742" s="421" t="s">
        <v>698</v>
      </c>
      <c r="B2742" s="411">
        <f>VLOOKUP(B2738,'BANG LUONG 1'!$B$5:$AJ$56,6,0)</f>
        <v>0</v>
      </c>
      <c r="C2742" s="421">
        <v>5</v>
      </c>
      <c r="D2742" s="41"/>
    </row>
    <row r="2743" spans="1:4" x14ac:dyDescent="0.25">
      <c r="A2743" s="421" t="s">
        <v>229</v>
      </c>
      <c r="B2743" s="412">
        <f>'thang luong moi'!$F$5</f>
        <v>4012500</v>
      </c>
      <c r="C2743" s="421">
        <v>6</v>
      </c>
      <c r="D2743" s="41"/>
    </row>
    <row r="2744" spans="1:4" x14ac:dyDescent="0.25">
      <c r="A2744" s="421" t="s">
        <v>217</v>
      </c>
      <c r="B2744" s="412" t="str">
        <f>VLOOKUP(B2738,'BANG LUONG 1'!$B$5:$AJ$56,8,0)</f>
        <v>B.05</v>
      </c>
      <c r="C2744" s="421">
        <v>7</v>
      </c>
      <c r="D2744" s="41"/>
    </row>
    <row r="2745" spans="1:4" x14ac:dyDescent="0.25">
      <c r="A2745" s="421" t="s">
        <v>230</v>
      </c>
      <c r="B2745" s="412">
        <f>VLOOKUP(B2738,'BANG LUONG 1'!$B$5:$AJ$56,9,0)</f>
        <v>1</v>
      </c>
      <c r="C2745" s="421">
        <v>8</v>
      </c>
      <c r="D2745" s="41"/>
    </row>
    <row r="2746" spans="1:4" x14ac:dyDescent="0.25">
      <c r="A2746" s="421" t="s">
        <v>538</v>
      </c>
      <c r="B2746" s="412">
        <f>VLOOKUP(B2738,'BANG LUONG 1'!$B$5:$AJ$56,11,0)</f>
        <v>4213125</v>
      </c>
      <c r="C2746" s="421">
        <v>9</v>
      </c>
      <c r="D2746" s="41"/>
    </row>
    <row r="2747" spans="1:4" x14ac:dyDescent="0.25">
      <c r="A2747" s="421" t="s">
        <v>354</v>
      </c>
      <c r="B2747" s="412">
        <f>VLOOKUP(B2738,'BANG LUONG 1'!$B$5:$AJ$56,12,0)</f>
        <v>0</v>
      </c>
      <c r="C2747" s="421">
        <v>10</v>
      </c>
      <c r="D2747" s="41"/>
    </row>
    <row r="2748" spans="1:4" x14ac:dyDescent="0.25">
      <c r="A2748" s="421" t="s">
        <v>534</v>
      </c>
      <c r="B2748" s="412">
        <f>VLOOKUP(B2738,'BANG LUONG 1'!$B$5:$AJ$56,13,0)</f>
        <v>0</v>
      </c>
      <c r="C2748" s="421">
        <v>11</v>
      </c>
      <c r="D2748" s="41"/>
    </row>
    <row r="2749" spans="1:4" x14ac:dyDescent="0.25">
      <c r="A2749" s="421" t="s">
        <v>592</v>
      </c>
      <c r="B2749" s="412">
        <f>VLOOKUP(B2738,'BANG LUONG 1'!$B$5:$AJ$56,14,0)</f>
        <v>0</v>
      </c>
      <c r="C2749" s="421">
        <v>12</v>
      </c>
      <c r="D2749" s="41">
        <f>B2746/26*B2749</f>
        <v>0</v>
      </c>
    </row>
    <row r="2750" spans="1:4" x14ac:dyDescent="0.25">
      <c r="A2750" s="421" t="s">
        <v>357</v>
      </c>
      <c r="B2750" s="412">
        <f>VLOOKUP(B2738,'BANG LUONG 1'!$B$5:$AJ$56,15,0)</f>
        <v>0</v>
      </c>
      <c r="C2750" s="421">
        <v>13</v>
      </c>
      <c r="D2750" s="41">
        <f>B2746/26/8*1.5*B2750</f>
        <v>0</v>
      </c>
    </row>
    <row r="2751" spans="1:4" x14ac:dyDescent="0.25">
      <c r="A2751" s="421" t="s">
        <v>387</v>
      </c>
      <c r="B2751" s="412">
        <f>VLOOKUP(B2738,'BANG LUONG 1'!$B$5:$AJ$56,16,0)</f>
        <v>0</v>
      </c>
      <c r="C2751" s="421">
        <v>14</v>
      </c>
      <c r="D2751" s="41">
        <f>B2746/26/8*2*B2751</f>
        <v>0</v>
      </c>
    </row>
    <row r="2752" spans="1:4" x14ac:dyDescent="0.25">
      <c r="A2752" s="421" t="s">
        <v>593</v>
      </c>
      <c r="B2752" s="412">
        <f>VLOOKUP(B2738,'BANG LUONG 1'!$B$5:$AJ$56,17,0)</f>
        <v>0</v>
      </c>
      <c r="C2752" s="421"/>
      <c r="D2752" s="41">
        <f>(B2746/26)*B2752</f>
        <v>0</v>
      </c>
    </row>
    <row r="2753" spans="1:5" x14ac:dyDescent="0.25">
      <c r="A2753" s="421" t="s">
        <v>388</v>
      </c>
      <c r="B2753" s="412">
        <f>VLOOKUP(B2738,'BANG LUONG 1'!$B$5:$AJ$56,18,0)</f>
        <v>0</v>
      </c>
      <c r="C2753" s="421">
        <v>15</v>
      </c>
      <c r="D2753" s="41">
        <f>(B2746/26*B2753)*3</f>
        <v>0</v>
      </c>
    </row>
    <row r="2754" spans="1:5" x14ac:dyDescent="0.25">
      <c r="A2754" s="421" t="s">
        <v>533</v>
      </c>
      <c r="B2754" s="412">
        <f>VLOOKUP(B2738,'BANG LUONG 1'!$B$5:$AJ$56,19,0)</f>
        <v>0</v>
      </c>
      <c r="C2754" s="183">
        <v>16</v>
      </c>
      <c r="D2754" s="185">
        <f>B2748+D2750+D2751+D2749+D2753+D2752</f>
        <v>0</v>
      </c>
      <c r="E2754" s="108"/>
    </row>
    <row r="2755" spans="1:5" x14ac:dyDescent="0.25">
      <c r="A2755" s="421" t="s">
        <v>535</v>
      </c>
      <c r="B2755" s="412">
        <f>VLOOKUP(B2738,'BANG LUONG 1'!$B$5:$AJ$56,20,0)</f>
        <v>0</v>
      </c>
      <c r="C2755" s="421">
        <v>17</v>
      </c>
      <c r="D2755" s="41"/>
    </row>
    <row r="2756" spans="1:5" x14ac:dyDescent="0.25">
      <c r="A2756" s="421" t="s">
        <v>370</v>
      </c>
      <c r="B2756" s="412">
        <f>VLOOKUP(B2738,'BANG LUONG 1'!$B$5:$AJ$56,22,0)</f>
        <v>0</v>
      </c>
      <c r="C2756" s="421">
        <v>18</v>
      </c>
      <c r="D2756" s="41"/>
    </row>
    <row r="2757" spans="1:5" x14ac:dyDescent="0.25">
      <c r="A2757" s="421" t="s">
        <v>371</v>
      </c>
      <c r="B2757" s="412">
        <f>VLOOKUP(B2738,'BANG LUONG 1'!$B$5:$AJ$56,23,0)</f>
        <v>0</v>
      </c>
      <c r="C2757" s="421">
        <v>19</v>
      </c>
      <c r="D2757" s="41"/>
    </row>
    <row r="2758" spans="1:5" x14ac:dyDescent="0.25">
      <c r="A2758" s="421" t="s">
        <v>560</v>
      </c>
      <c r="B2758" s="412">
        <f>VLOOKUP(B2738,'BANG LUONG 1'!$B$5:$AJ$56,24,0)</f>
        <v>0</v>
      </c>
      <c r="C2758" s="421">
        <v>22</v>
      </c>
      <c r="D2758" s="41"/>
    </row>
    <row r="2759" spans="1:5" x14ac:dyDescent="0.25">
      <c r="A2759" s="183" t="s">
        <v>237</v>
      </c>
      <c r="B2759" s="415">
        <f>VLOOKUP(B2738,'BANG LUONG 1'!$B$5:$AJ$56,26,0)</f>
        <v>0</v>
      </c>
      <c r="C2759" s="421">
        <v>24</v>
      </c>
      <c r="D2759" s="41"/>
    </row>
    <row r="2760" spans="1:5" x14ac:dyDescent="0.25">
      <c r="A2760" s="421" t="s">
        <v>545</v>
      </c>
      <c r="B2760" s="412">
        <f>VLOOKUP(B2738,'BANG LUONG 1'!$B$5:$AJ$56,27,0)</f>
        <v>0</v>
      </c>
      <c r="C2760" s="421">
        <v>25</v>
      </c>
      <c r="D2760" s="41"/>
    </row>
    <row r="2761" spans="1:5" x14ac:dyDescent="0.25">
      <c r="A2761" s="421" t="s">
        <v>544</v>
      </c>
      <c r="B2761" s="412">
        <f>VLOOKUP(B2738,'BANG LUONG 1'!$B$5:$AJ$56,28,0)</f>
        <v>0</v>
      </c>
      <c r="C2761" s="421">
        <v>26</v>
      </c>
      <c r="D2761" s="41"/>
    </row>
    <row r="2762" spans="1:5" x14ac:dyDescent="0.25">
      <c r="A2762" s="421" t="s">
        <v>712</v>
      </c>
      <c r="B2762" s="415">
        <f>VLOOKUP(B2738,'BANG LUONG 1'!$B$5:$AJ$56,32,0)</f>
        <v>0</v>
      </c>
      <c r="C2762" s="421"/>
      <c r="D2762" s="41"/>
    </row>
    <row r="2763" spans="1:5" x14ac:dyDescent="0.25">
      <c r="A2763" s="421" t="s">
        <v>713</v>
      </c>
      <c r="B2763" s="415">
        <f>VLOOKUP(B2738,'BANG LUONG 1'!$B$5:$AJ$56,33,0)</f>
        <v>0</v>
      </c>
      <c r="C2763" s="421"/>
      <c r="D2763" s="41"/>
    </row>
    <row r="2764" spans="1:5" x14ac:dyDescent="0.25">
      <c r="A2764" s="183" t="s">
        <v>707</v>
      </c>
      <c r="B2764" s="415">
        <f>VLOOKUP(B2738,'BANG LUONG 1'!$B$5:$AJ$56,34,0)</f>
        <v>0</v>
      </c>
      <c r="C2764" s="421"/>
      <c r="D2764" s="41"/>
      <c r="E2764" s="108" t="str">
        <f>B2739</f>
        <v>Bùi Trọng Nghĩa</v>
      </c>
    </row>
    <row r="2765" spans="1:5" x14ac:dyDescent="0.25">
      <c r="A2765" s="183" t="s">
        <v>546</v>
      </c>
      <c r="B2765" s="415">
        <f>VLOOKUP(B2738,'BANG LUONG 1'!$B$5:$AJ$56,35,0)</f>
        <v>0</v>
      </c>
      <c r="C2765" s="421"/>
      <c r="D2765" s="41"/>
    </row>
    <row r="2766" spans="1:5" x14ac:dyDescent="0.25">
      <c r="A2766" s="183"/>
      <c r="B2766" s="412"/>
      <c r="C2766" s="421">
        <v>27</v>
      </c>
      <c r="D2766" s="185"/>
    </row>
    <row r="2767" spans="1:5" x14ac:dyDescent="0.25">
      <c r="A2767" s="184" t="s">
        <v>549</v>
      </c>
      <c r="B2767" s="424">
        <f>'BANG LUONG 1'!$P$3</f>
        <v>43733</v>
      </c>
    </row>
    <row r="2768" spans="1:5" x14ac:dyDescent="0.25">
      <c r="A2768" s="183" t="s">
        <v>1</v>
      </c>
      <c r="B2768" s="185" t="s">
        <v>165</v>
      </c>
      <c r="C2768" s="421">
        <v>1</v>
      </c>
      <c r="D2768" s="41"/>
    </row>
    <row r="2769" spans="1:5" x14ac:dyDescent="0.25">
      <c r="A2769" s="183" t="s">
        <v>2</v>
      </c>
      <c r="B2769" s="185" t="e">
        <f>VLOOKUP($B2768,'BANG LUONG 1'!$B$6:$AB$51,C2769,0)</f>
        <v>#N/A</v>
      </c>
      <c r="C2769" s="421">
        <v>2</v>
      </c>
      <c r="D2769" s="41"/>
    </row>
    <row r="2770" spans="1:5" x14ac:dyDescent="0.25">
      <c r="A2770" s="421" t="s">
        <v>3</v>
      </c>
      <c r="B2770" s="41" t="e">
        <f>VLOOKUP($B2768,'BANG LUONG 1'!$B$6:$AJ$48,C2770,0)</f>
        <v>#N/A</v>
      </c>
      <c r="C2770" s="421">
        <v>3</v>
      </c>
      <c r="D2770" s="41"/>
    </row>
    <row r="2771" spans="1:5" x14ac:dyDescent="0.25">
      <c r="A2771" s="421" t="s">
        <v>376</v>
      </c>
      <c r="B2771" s="410">
        <f>VLOOKUP($B2768,'BANG LUONG 1'!$B$5:$AJ$56,4,0)</f>
        <v>43626</v>
      </c>
      <c r="C2771" s="421">
        <v>4</v>
      </c>
      <c r="D2771" s="41"/>
    </row>
    <row r="2772" spans="1:5" x14ac:dyDescent="0.25">
      <c r="A2772" s="421" t="s">
        <v>698</v>
      </c>
      <c r="B2772" s="411">
        <f>VLOOKUP(B2768,'BANG LUONG 1'!$B$5:$AJ$56,6,0)</f>
        <v>0</v>
      </c>
      <c r="C2772" s="421">
        <v>5</v>
      </c>
      <c r="D2772" s="41"/>
    </row>
    <row r="2773" spans="1:5" x14ac:dyDescent="0.25">
      <c r="A2773" s="421" t="s">
        <v>229</v>
      </c>
      <c r="B2773" s="412">
        <f>'thang luong moi'!$F$5</f>
        <v>4012500</v>
      </c>
      <c r="C2773" s="421">
        <v>6</v>
      </c>
      <c r="D2773" s="41"/>
    </row>
    <row r="2774" spans="1:5" x14ac:dyDescent="0.25">
      <c r="A2774" s="421" t="s">
        <v>217</v>
      </c>
      <c r="B2774" s="412" t="str">
        <f>VLOOKUP(B2768,'BANG LUONG 1'!$B$5:$AJ$56,8,0)</f>
        <v>B.05</v>
      </c>
      <c r="C2774" s="421">
        <v>7</v>
      </c>
      <c r="D2774" s="41"/>
    </row>
    <row r="2775" spans="1:5" x14ac:dyDescent="0.25">
      <c r="A2775" s="421" t="s">
        <v>230</v>
      </c>
      <c r="B2775" s="412">
        <f>VLOOKUP(B2768,'BANG LUONG 1'!$B$5:$AJ$56,9,0)</f>
        <v>1</v>
      </c>
      <c r="C2775" s="421">
        <v>8</v>
      </c>
      <c r="D2775" s="41"/>
    </row>
    <row r="2776" spans="1:5" x14ac:dyDescent="0.25">
      <c r="A2776" s="421" t="s">
        <v>538</v>
      </c>
      <c r="B2776" s="412">
        <f>VLOOKUP(B2768,'BANG LUONG 1'!$B$5:$AJ$56,11,0)</f>
        <v>4213125</v>
      </c>
      <c r="C2776" s="421">
        <v>9</v>
      </c>
      <c r="D2776" s="41"/>
    </row>
    <row r="2777" spans="1:5" x14ac:dyDescent="0.25">
      <c r="A2777" s="421" t="s">
        <v>354</v>
      </c>
      <c r="B2777" s="412">
        <f>VLOOKUP(B2768,'BANG LUONG 1'!$B$5:$AJ$56,12,0)</f>
        <v>26</v>
      </c>
      <c r="C2777" s="421">
        <v>10</v>
      </c>
      <c r="D2777" s="41"/>
    </row>
    <row r="2778" spans="1:5" x14ac:dyDescent="0.25">
      <c r="A2778" s="421" t="s">
        <v>534</v>
      </c>
      <c r="B2778" s="412">
        <f>VLOOKUP(B2768,'BANG LUONG 1'!$B$5:$AJ$56,13,0)</f>
        <v>4213125</v>
      </c>
      <c r="C2778" s="421">
        <v>11</v>
      </c>
      <c r="D2778" s="41"/>
    </row>
    <row r="2779" spans="1:5" x14ac:dyDescent="0.25">
      <c r="A2779" s="421" t="s">
        <v>592</v>
      </c>
      <c r="B2779" s="412">
        <f>VLOOKUP(B2768,'BANG LUONG 1'!$B$5:$AJ$56,14,0)</f>
        <v>0</v>
      </c>
      <c r="C2779" s="421">
        <v>12</v>
      </c>
      <c r="D2779" s="41">
        <f>B2776/26*B2779</f>
        <v>0</v>
      </c>
    </row>
    <row r="2780" spans="1:5" x14ac:dyDescent="0.25">
      <c r="A2780" s="421" t="s">
        <v>357</v>
      </c>
      <c r="B2780" s="412">
        <f>VLOOKUP(B2768,'BANG LUONG 1'!$B$5:$AJ$56,15,0)</f>
        <v>0</v>
      </c>
      <c r="C2780" s="421">
        <v>13</v>
      </c>
      <c r="D2780" s="41">
        <f>B2776/26/8*1.5*B2780</f>
        <v>0</v>
      </c>
    </row>
    <row r="2781" spans="1:5" x14ac:dyDescent="0.25">
      <c r="A2781" s="421" t="s">
        <v>387</v>
      </c>
      <c r="B2781" s="412">
        <f>VLOOKUP(B2768,'BANG LUONG 1'!$B$5:$AJ$56,16,0)</f>
        <v>24</v>
      </c>
      <c r="C2781" s="421">
        <v>14</v>
      </c>
      <c r="D2781" s="41">
        <f>B2776/26/8*2*B2781</f>
        <v>972259.61538461526</v>
      </c>
    </row>
    <row r="2782" spans="1:5" x14ac:dyDescent="0.25">
      <c r="A2782" s="421" t="s">
        <v>593</v>
      </c>
      <c r="B2782" s="412">
        <f>VLOOKUP(B2768,'BANG LUONG 1'!$B$5:$AJ$56,17,0)</f>
        <v>0</v>
      </c>
      <c r="C2782" s="421"/>
      <c r="D2782" s="41">
        <f>(B2776/26)*B2782</f>
        <v>0</v>
      </c>
    </row>
    <row r="2783" spans="1:5" x14ac:dyDescent="0.25">
      <c r="A2783" s="421" t="s">
        <v>388</v>
      </c>
      <c r="B2783" s="412">
        <f>VLOOKUP(B2768,'BANG LUONG 1'!$B$5:$AJ$56,18,0)</f>
        <v>1</v>
      </c>
      <c r="C2783" s="421">
        <v>15</v>
      </c>
      <c r="D2783" s="41">
        <f>(B2776/26*B2783)*3</f>
        <v>486129.80769230763</v>
      </c>
    </row>
    <row r="2784" spans="1:5" x14ac:dyDescent="0.25">
      <c r="A2784" s="421" t="s">
        <v>533</v>
      </c>
      <c r="B2784" s="412">
        <f>VLOOKUP(B2768,'BANG LUONG 1'!$B$5:$AJ$56,19,0)</f>
        <v>5671514.423076923</v>
      </c>
      <c r="C2784" s="183">
        <v>16</v>
      </c>
      <c r="D2784" s="185">
        <f>B2778+D2780+D2781+D2779+D2783+D2782</f>
        <v>5671514.423076923</v>
      </c>
      <c r="E2784" s="108"/>
    </row>
    <row r="2785" spans="1:5" x14ac:dyDescent="0.25">
      <c r="A2785" s="421" t="s">
        <v>535</v>
      </c>
      <c r="B2785" s="412">
        <f>VLOOKUP(B2768,'BANG LUONG 1'!$B$5:$AJ$56,20,0)</f>
        <v>1209951.9230769239</v>
      </c>
      <c r="C2785" s="421">
        <v>17</v>
      </c>
      <c r="D2785" s="41"/>
    </row>
    <row r="2786" spans="1:5" x14ac:dyDescent="0.25">
      <c r="A2786" s="421" t="s">
        <v>370</v>
      </c>
      <c r="B2786" s="412">
        <f>VLOOKUP(B2768,'BANG LUONG 1'!$B$5:$AJ$56,22,0)</f>
        <v>0</v>
      </c>
      <c r="C2786" s="421">
        <v>18</v>
      </c>
      <c r="D2786" s="41"/>
    </row>
    <row r="2787" spans="1:5" x14ac:dyDescent="0.25">
      <c r="A2787" s="421" t="s">
        <v>371</v>
      </c>
      <c r="B2787" s="412">
        <f>VLOOKUP(B2768,'BANG LUONG 1'!$B$5:$AJ$56,23,0)</f>
        <v>300000</v>
      </c>
      <c r="C2787" s="421">
        <v>19</v>
      </c>
      <c r="D2787" s="41"/>
    </row>
    <row r="2788" spans="1:5" x14ac:dyDescent="0.25">
      <c r="A2788" s="421" t="s">
        <v>560</v>
      </c>
      <c r="B2788" s="412">
        <f>VLOOKUP(B2768,'BANG LUONG 1'!$B$5:$AJ$56,24,0)</f>
        <v>0</v>
      </c>
      <c r="C2788" s="421">
        <v>22</v>
      </c>
      <c r="D2788" s="41"/>
    </row>
    <row r="2789" spans="1:5" x14ac:dyDescent="0.25">
      <c r="A2789" s="183" t="s">
        <v>237</v>
      </c>
      <c r="B2789" s="415">
        <f>VLOOKUP(B2768,'BANG LUONG 1'!$B$5:$AJ$56,26,0)</f>
        <v>7181466.3461538469</v>
      </c>
      <c r="C2789" s="421">
        <v>24</v>
      </c>
      <c r="D2789" s="41"/>
    </row>
    <row r="2790" spans="1:5" x14ac:dyDescent="0.25">
      <c r="A2790" s="421" t="s">
        <v>545</v>
      </c>
      <c r="B2790" s="412">
        <f>VLOOKUP(B2768,'BANG LUONG 1'!$B$5:$AJ$56,27,0)</f>
        <v>0</v>
      </c>
      <c r="C2790" s="421">
        <v>25</v>
      </c>
      <c r="D2790" s="41"/>
    </row>
    <row r="2791" spans="1:5" x14ac:dyDescent="0.25">
      <c r="A2791" s="421" t="s">
        <v>544</v>
      </c>
      <c r="B2791" s="412">
        <f>VLOOKUP(B2768,'BANG LUONG 1'!$B$5:$AJ$56,28,0)</f>
        <v>0</v>
      </c>
      <c r="C2791" s="421">
        <v>26</v>
      </c>
      <c r="D2791" s="41"/>
    </row>
    <row r="2792" spans="1:5" x14ac:dyDescent="0.25">
      <c r="A2792" s="421" t="s">
        <v>712</v>
      </c>
      <c r="B2792" s="415">
        <f>VLOOKUP(B2768,'BANG LUONG 1'!$B$5:$AJ$56,32,0)</f>
        <v>0</v>
      </c>
      <c r="C2792" s="421"/>
      <c r="D2792" s="41"/>
    </row>
    <row r="2793" spans="1:5" x14ac:dyDescent="0.25">
      <c r="A2793" s="421" t="s">
        <v>713</v>
      </c>
      <c r="B2793" s="415">
        <f>VLOOKUP(B2768,'BANG LUONG 1'!$B$5:$AJ$56,33,0)</f>
        <v>0</v>
      </c>
      <c r="C2793" s="421"/>
      <c r="D2793" s="41"/>
    </row>
    <row r="2794" spans="1:5" x14ac:dyDescent="0.25">
      <c r="A2794" s="183" t="s">
        <v>707</v>
      </c>
      <c r="B2794" s="415">
        <f>VLOOKUP(B2768,'BANG LUONG 1'!$B$5:$AJ$56,34,0)</f>
        <v>0</v>
      </c>
      <c r="C2794" s="421"/>
      <c r="D2794" s="41"/>
      <c r="E2794" s="108" t="e">
        <f>B2769</f>
        <v>#N/A</v>
      </c>
    </row>
    <row r="2795" spans="1:5" x14ac:dyDescent="0.25">
      <c r="A2795" s="183" t="s">
        <v>546</v>
      </c>
      <c r="B2795" s="415">
        <f>VLOOKUP(B2768,'BANG LUONG 1'!$B$5:$AJ$56,35,0)</f>
        <v>7281000</v>
      </c>
      <c r="C2795" s="421"/>
      <c r="D2795" s="41"/>
    </row>
    <row r="2796" spans="1:5" x14ac:dyDescent="0.25">
      <c r="A2796" s="183"/>
      <c r="B2796" s="412"/>
      <c r="C2796" s="421">
        <v>27</v>
      </c>
      <c r="D2796" s="185"/>
    </row>
    <row r="2797" spans="1:5" x14ac:dyDescent="0.25">
      <c r="A2797" s="184" t="s">
        <v>549</v>
      </c>
      <c r="B2797" s="424">
        <f>'BANG LUONG 1'!$P$3</f>
        <v>43733</v>
      </c>
    </row>
    <row r="2798" spans="1:5" x14ac:dyDescent="0.25">
      <c r="A2798" s="183" t="s">
        <v>1</v>
      </c>
      <c r="B2798" s="185" t="s">
        <v>165</v>
      </c>
      <c r="C2798" s="421">
        <v>1</v>
      </c>
      <c r="D2798" s="41"/>
    </row>
    <row r="2799" spans="1:5" x14ac:dyDescent="0.25">
      <c r="A2799" s="183" t="s">
        <v>2</v>
      </c>
      <c r="B2799" s="185" t="e">
        <f>VLOOKUP($B2798,'BANG LUONG 1'!$B$6:$AB$51,C2799,0)</f>
        <v>#N/A</v>
      </c>
      <c r="C2799" s="421">
        <v>2</v>
      </c>
      <c r="D2799" s="41"/>
    </row>
    <row r="2800" spans="1:5" x14ac:dyDescent="0.25">
      <c r="A2800" s="421" t="s">
        <v>3</v>
      </c>
      <c r="B2800" s="41" t="e">
        <f>VLOOKUP($B2798,'BANG LUONG 1'!$B$6:$AJ$48,C2800,0)</f>
        <v>#N/A</v>
      </c>
      <c r="C2800" s="421">
        <v>3</v>
      </c>
      <c r="D2800" s="41"/>
    </row>
    <row r="2801" spans="1:5" x14ac:dyDescent="0.25">
      <c r="A2801" s="421" t="s">
        <v>376</v>
      </c>
      <c r="B2801" s="410">
        <f>VLOOKUP($B2798,'BANG LUONG 1'!$B$5:$AJ$56,4,0)</f>
        <v>43626</v>
      </c>
      <c r="C2801" s="421">
        <v>4</v>
      </c>
      <c r="D2801" s="41"/>
    </row>
    <row r="2802" spans="1:5" x14ac:dyDescent="0.25">
      <c r="A2802" s="421" t="s">
        <v>698</v>
      </c>
      <c r="B2802" s="411">
        <f>VLOOKUP(B2798,'BANG LUONG 1'!$B$5:$AJ$56,6,0)</f>
        <v>0</v>
      </c>
      <c r="C2802" s="421">
        <v>5</v>
      </c>
      <c r="D2802" s="41"/>
    </row>
    <row r="2803" spans="1:5" x14ac:dyDescent="0.25">
      <c r="A2803" s="421" t="s">
        <v>229</v>
      </c>
      <c r="B2803" s="412">
        <f>'thang luong moi'!$F$5</f>
        <v>4012500</v>
      </c>
      <c r="C2803" s="421">
        <v>6</v>
      </c>
      <c r="D2803" s="41"/>
    </row>
    <row r="2804" spans="1:5" x14ac:dyDescent="0.25">
      <c r="A2804" s="421" t="s">
        <v>217</v>
      </c>
      <c r="B2804" s="412" t="str">
        <f>VLOOKUP(B2798,'BANG LUONG 1'!$B$5:$AJ$56,8,0)</f>
        <v>B.05</v>
      </c>
      <c r="C2804" s="421">
        <v>7</v>
      </c>
      <c r="D2804" s="41"/>
    </row>
    <row r="2805" spans="1:5" x14ac:dyDescent="0.25">
      <c r="A2805" s="421" t="s">
        <v>230</v>
      </c>
      <c r="B2805" s="412">
        <f>VLOOKUP(B2798,'BANG LUONG 1'!$B$5:$AJ$56,9,0)</f>
        <v>1</v>
      </c>
      <c r="C2805" s="421">
        <v>8</v>
      </c>
      <c r="D2805" s="41"/>
    </row>
    <row r="2806" spans="1:5" x14ac:dyDescent="0.25">
      <c r="A2806" s="421" t="s">
        <v>538</v>
      </c>
      <c r="B2806" s="412">
        <f>VLOOKUP(B2798,'BANG LUONG 1'!$B$5:$AJ$56,11,0)</f>
        <v>4213125</v>
      </c>
      <c r="C2806" s="421">
        <v>9</v>
      </c>
      <c r="D2806" s="41"/>
    </row>
    <row r="2807" spans="1:5" x14ac:dyDescent="0.25">
      <c r="A2807" s="421" t="s">
        <v>354</v>
      </c>
      <c r="B2807" s="412">
        <f>VLOOKUP(B2798,'BANG LUONG 1'!$B$5:$AJ$56,12,0)</f>
        <v>26</v>
      </c>
      <c r="C2807" s="421">
        <v>10</v>
      </c>
      <c r="D2807" s="41"/>
    </row>
    <row r="2808" spans="1:5" x14ac:dyDescent="0.25">
      <c r="A2808" s="421" t="s">
        <v>534</v>
      </c>
      <c r="B2808" s="412">
        <f>VLOOKUP(B2798,'BANG LUONG 1'!$B$5:$AJ$56,13,0)</f>
        <v>4213125</v>
      </c>
      <c r="C2808" s="421">
        <v>11</v>
      </c>
      <c r="D2808" s="41"/>
    </row>
    <row r="2809" spans="1:5" x14ac:dyDescent="0.25">
      <c r="A2809" s="421" t="s">
        <v>592</v>
      </c>
      <c r="B2809" s="412">
        <f>VLOOKUP(B2798,'BANG LUONG 1'!$B$5:$AJ$56,14,0)</f>
        <v>0</v>
      </c>
      <c r="C2809" s="421">
        <v>12</v>
      </c>
      <c r="D2809" s="41">
        <f>B2806/26*B2809</f>
        <v>0</v>
      </c>
    </row>
    <row r="2810" spans="1:5" x14ac:dyDescent="0.25">
      <c r="A2810" s="421" t="s">
        <v>357</v>
      </c>
      <c r="B2810" s="412">
        <f>VLOOKUP(B2798,'BANG LUONG 1'!$B$5:$AJ$56,15,0)</f>
        <v>0</v>
      </c>
      <c r="C2810" s="421">
        <v>13</v>
      </c>
      <c r="D2810" s="41">
        <f>B2806/26/8*1.5*B2810</f>
        <v>0</v>
      </c>
    </row>
    <row r="2811" spans="1:5" x14ac:dyDescent="0.25">
      <c r="A2811" s="421" t="s">
        <v>387</v>
      </c>
      <c r="B2811" s="412">
        <f>VLOOKUP(B2798,'BANG LUONG 1'!$B$5:$AJ$56,16,0)</f>
        <v>24</v>
      </c>
      <c r="C2811" s="421">
        <v>14</v>
      </c>
      <c r="D2811" s="41">
        <f>B2806/26/8*2*B2811</f>
        <v>972259.61538461526</v>
      </c>
    </row>
    <row r="2812" spans="1:5" x14ac:dyDescent="0.25">
      <c r="A2812" s="421" t="s">
        <v>593</v>
      </c>
      <c r="B2812" s="412">
        <f>VLOOKUP(B2798,'BANG LUONG 1'!$B$5:$AJ$56,17,0)</f>
        <v>0</v>
      </c>
      <c r="C2812" s="421"/>
      <c r="D2812" s="41">
        <f>(B2806/26)*B2812</f>
        <v>0</v>
      </c>
    </row>
    <row r="2813" spans="1:5" x14ac:dyDescent="0.25">
      <c r="A2813" s="421" t="s">
        <v>388</v>
      </c>
      <c r="B2813" s="412">
        <f>VLOOKUP(B2798,'BANG LUONG 1'!$B$5:$AJ$56,18,0)</f>
        <v>1</v>
      </c>
      <c r="C2813" s="421">
        <v>15</v>
      </c>
      <c r="D2813" s="41">
        <f>(B2806/26*B2813)*3</f>
        <v>486129.80769230763</v>
      </c>
    </row>
    <row r="2814" spans="1:5" x14ac:dyDescent="0.25">
      <c r="A2814" s="421" t="s">
        <v>533</v>
      </c>
      <c r="B2814" s="412">
        <f>VLOOKUP(B2798,'BANG LUONG 1'!$B$5:$AJ$56,19,0)</f>
        <v>5671514.423076923</v>
      </c>
      <c r="C2814" s="183">
        <v>16</v>
      </c>
      <c r="D2814" s="185">
        <f>B2808+D2810+D2811+D2809+D2813+D2812</f>
        <v>5671514.423076923</v>
      </c>
      <c r="E2814" s="108"/>
    </row>
    <row r="2815" spans="1:5" x14ac:dyDescent="0.25">
      <c r="A2815" s="421" t="s">
        <v>535</v>
      </c>
      <c r="B2815" s="412">
        <f>VLOOKUP(B2798,'BANG LUONG 1'!$B$5:$AJ$56,20,0)</f>
        <v>1209951.9230769239</v>
      </c>
      <c r="C2815" s="421">
        <v>17</v>
      </c>
      <c r="D2815" s="41"/>
    </row>
    <row r="2816" spans="1:5" x14ac:dyDescent="0.25">
      <c r="A2816" s="421" t="s">
        <v>370</v>
      </c>
      <c r="B2816" s="412">
        <f>VLOOKUP(B2798,'BANG LUONG 1'!$B$5:$AJ$56,22,0)</f>
        <v>0</v>
      </c>
      <c r="C2816" s="421">
        <v>18</v>
      </c>
      <c r="D2816" s="41"/>
    </row>
    <row r="2817" spans="1:5" x14ac:dyDescent="0.25">
      <c r="A2817" s="421" t="s">
        <v>371</v>
      </c>
      <c r="B2817" s="412">
        <f>VLOOKUP(B2798,'BANG LUONG 1'!$B$5:$AJ$56,23,0)</f>
        <v>300000</v>
      </c>
      <c r="C2817" s="421">
        <v>19</v>
      </c>
      <c r="D2817" s="41"/>
    </row>
    <row r="2818" spans="1:5" x14ac:dyDescent="0.25">
      <c r="A2818" s="421" t="s">
        <v>560</v>
      </c>
      <c r="B2818" s="412">
        <f>VLOOKUP(B2798,'BANG LUONG 1'!$B$5:$AJ$56,24,0)</f>
        <v>0</v>
      </c>
      <c r="C2818" s="421">
        <v>22</v>
      </c>
      <c r="D2818" s="41"/>
    </row>
    <row r="2819" spans="1:5" x14ac:dyDescent="0.25">
      <c r="A2819" s="183" t="s">
        <v>237</v>
      </c>
      <c r="B2819" s="415">
        <f>VLOOKUP(B2798,'BANG LUONG 1'!$B$5:$AJ$56,26,0)</f>
        <v>7181466.3461538469</v>
      </c>
      <c r="C2819" s="421">
        <v>24</v>
      </c>
      <c r="D2819" s="41"/>
    </row>
    <row r="2820" spans="1:5" x14ac:dyDescent="0.25">
      <c r="A2820" s="421" t="s">
        <v>545</v>
      </c>
      <c r="B2820" s="412">
        <f>VLOOKUP(B2798,'BANG LUONG 1'!$B$5:$AJ$56,27,0)</f>
        <v>0</v>
      </c>
      <c r="C2820" s="421">
        <v>25</v>
      </c>
      <c r="D2820" s="41"/>
    </row>
    <row r="2821" spans="1:5" x14ac:dyDescent="0.25">
      <c r="A2821" s="421" t="s">
        <v>544</v>
      </c>
      <c r="B2821" s="412">
        <f>VLOOKUP(B2798,'BANG LUONG 1'!$B$5:$AJ$56,28,0)</f>
        <v>0</v>
      </c>
      <c r="C2821" s="421">
        <v>26</v>
      </c>
      <c r="D2821" s="41"/>
    </row>
    <row r="2822" spans="1:5" x14ac:dyDescent="0.25">
      <c r="A2822" s="421" t="s">
        <v>712</v>
      </c>
      <c r="B2822" s="415">
        <f>VLOOKUP(B2798,'BANG LUONG 1'!$B$5:$AJ$56,32,0)</f>
        <v>0</v>
      </c>
      <c r="C2822" s="421"/>
      <c r="D2822" s="41"/>
    </row>
    <row r="2823" spans="1:5" x14ac:dyDescent="0.25">
      <c r="A2823" s="421" t="s">
        <v>713</v>
      </c>
      <c r="B2823" s="415">
        <f>VLOOKUP(B2798,'BANG LUONG 1'!$B$5:$AJ$56,33,0)</f>
        <v>0</v>
      </c>
      <c r="C2823" s="421"/>
      <c r="D2823" s="41"/>
    </row>
    <row r="2824" spans="1:5" x14ac:dyDescent="0.25">
      <c r="A2824" s="183" t="s">
        <v>707</v>
      </c>
      <c r="B2824" s="415">
        <f>VLOOKUP(B2798,'BANG LUONG 1'!$B$5:$AJ$56,34,0)</f>
        <v>0</v>
      </c>
      <c r="C2824" s="421"/>
      <c r="D2824" s="41"/>
      <c r="E2824" s="108" t="e">
        <f>B2799</f>
        <v>#N/A</v>
      </c>
    </row>
    <row r="2825" spans="1:5" x14ac:dyDescent="0.25">
      <c r="A2825" s="183" t="s">
        <v>546</v>
      </c>
      <c r="B2825" s="415">
        <f>VLOOKUP(B2798,'BANG LUONG 1'!$B$5:$AJ$56,35,0)</f>
        <v>7281000</v>
      </c>
      <c r="C2825" s="421"/>
      <c r="D2825" s="41"/>
    </row>
    <row r="2826" spans="1:5" x14ac:dyDescent="0.25">
      <c r="A2826" s="184" t="s">
        <v>549</v>
      </c>
      <c r="B2826" s="424">
        <f>'BANG LUONG 1'!$P$3</f>
        <v>43733</v>
      </c>
    </row>
    <row r="2827" spans="1:5" x14ac:dyDescent="0.25">
      <c r="A2827" s="183" t="s">
        <v>1</v>
      </c>
      <c r="B2827" s="185" t="s">
        <v>166</v>
      </c>
      <c r="C2827" s="421">
        <v>1</v>
      </c>
      <c r="D2827" s="41"/>
    </row>
    <row r="2828" spans="1:5" x14ac:dyDescent="0.25">
      <c r="A2828" s="183" t="s">
        <v>2</v>
      </c>
      <c r="B2828" s="185" t="str">
        <f>VLOOKUP($B2827,'BANG LUONG 1'!$B$6:$AB$48,C2828,0)</f>
        <v>Nguyễn Đình Tâm</v>
      </c>
      <c r="C2828" s="421">
        <v>2</v>
      </c>
      <c r="D2828" s="41"/>
    </row>
    <row r="2829" spans="1:5" x14ac:dyDescent="0.25">
      <c r="A2829" s="421" t="s">
        <v>3</v>
      </c>
      <c r="B2829" s="41" t="str">
        <f>VLOOKUP($B2827,'BANG LUONG 1'!$B$6:$AJ$48,C2829,0)</f>
        <v xml:space="preserve">Công nhân </v>
      </c>
      <c r="C2829" s="421">
        <v>3</v>
      </c>
      <c r="D2829" s="41"/>
    </row>
    <row r="2830" spans="1:5" x14ac:dyDescent="0.25">
      <c r="A2830" s="421" t="s">
        <v>376</v>
      </c>
      <c r="B2830" s="410">
        <f>VLOOKUP($B2827,'BANG LUONG 1'!$B$5:$AJ$56,4,0)</f>
        <v>43648</v>
      </c>
      <c r="C2830" s="421">
        <v>4</v>
      </c>
      <c r="D2830" s="41"/>
    </row>
    <row r="2831" spans="1:5" x14ac:dyDescent="0.25">
      <c r="A2831" s="421" t="s">
        <v>698</v>
      </c>
      <c r="B2831" s="411">
        <f>VLOOKUP(B2827,'BANG LUONG 1'!$B$5:$AJ$56,6,0)</f>
        <v>0</v>
      </c>
      <c r="C2831" s="421">
        <v>5</v>
      </c>
      <c r="D2831" s="41"/>
    </row>
    <row r="2832" spans="1:5" x14ac:dyDescent="0.25">
      <c r="A2832" s="421" t="s">
        <v>229</v>
      </c>
      <c r="B2832" s="412">
        <f>'thang luong moi'!$F$5</f>
        <v>4012500</v>
      </c>
      <c r="C2832" s="421">
        <v>6</v>
      </c>
      <c r="D2832" s="41"/>
    </row>
    <row r="2833" spans="1:5" x14ac:dyDescent="0.25">
      <c r="A2833" s="421" t="s">
        <v>217</v>
      </c>
      <c r="B2833" s="412" t="str">
        <f>VLOOKUP(B2827,'BANG LUONG 1'!$B$5:$AJ$56,8,0)</f>
        <v>B.05</v>
      </c>
      <c r="C2833" s="421">
        <v>7</v>
      </c>
      <c r="D2833" s="41"/>
    </row>
    <row r="2834" spans="1:5" x14ac:dyDescent="0.25">
      <c r="A2834" s="421" t="s">
        <v>230</v>
      </c>
      <c r="B2834" s="412">
        <f>VLOOKUP(B2827,'BANG LUONG 1'!$B$5:$AJ$56,9,0)</f>
        <v>1</v>
      </c>
      <c r="C2834" s="421">
        <v>8</v>
      </c>
      <c r="D2834" s="41"/>
    </row>
    <row r="2835" spans="1:5" x14ac:dyDescent="0.25">
      <c r="A2835" s="421" t="s">
        <v>538</v>
      </c>
      <c r="B2835" s="412">
        <f>VLOOKUP(B2827,'BANG LUONG 1'!$B$5:$AJ$56,11,0)</f>
        <v>4213125</v>
      </c>
      <c r="C2835" s="421">
        <v>9</v>
      </c>
      <c r="D2835" s="41"/>
    </row>
    <row r="2836" spans="1:5" x14ac:dyDescent="0.25">
      <c r="A2836" s="421" t="s">
        <v>354</v>
      </c>
      <c r="B2836" s="412">
        <f>VLOOKUP(B2827,'BANG LUONG 1'!$B$5:$AJ$56,12,0)</f>
        <v>26</v>
      </c>
      <c r="C2836" s="421">
        <v>10</v>
      </c>
      <c r="D2836" s="41"/>
    </row>
    <row r="2837" spans="1:5" x14ac:dyDescent="0.25">
      <c r="A2837" s="421" t="s">
        <v>534</v>
      </c>
      <c r="B2837" s="412">
        <f>VLOOKUP(B2827,'BANG LUONG 1'!$B$5:$AJ$56,13,0)</f>
        <v>4213125</v>
      </c>
      <c r="C2837" s="421">
        <v>11</v>
      </c>
      <c r="D2837" s="41"/>
    </row>
    <row r="2838" spans="1:5" x14ac:dyDescent="0.25">
      <c r="A2838" s="421" t="s">
        <v>592</v>
      </c>
      <c r="B2838" s="412">
        <f>VLOOKUP(B2827,'BANG LUONG 1'!$B$5:$AJ$56,14,0)</f>
        <v>0</v>
      </c>
      <c r="C2838" s="421">
        <v>12</v>
      </c>
      <c r="D2838" s="41">
        <f>B2835/26*B2838</f>
        <v>0</v>
      </c>
    </row>
    <row r="2839" spans="1:5" x14ac:dyDescent="0.25">
      <c r="A2839" s="421" t="s">
        <v>357</v>
      </c>
      <c r="B2839" s="412">
        <f>VLOOKUP(B2827,'BANG LUONG 1'!$B$5:$AJ$56,15,0)</f>
        <v>0</v>
      </c>
      <c r="C2839" s="421">
        <v>13</v>
      </c>
      <c r="D2839" s="41">
        <f>B2835/26/8*1.5*B2839</f>
        <v>0</v>
      </c>
    </row>
    <row r="2840" spans="1:5" x14ac:dyDescent="0.25">
      <c r="A2840" s="421" t="s">
        <v>387</v>
      </c>
      <c r="B2840" s="412">
        <f>VLOOKUP(B2827,'BANG LUONG 1'!$B$5:$AJ$56,16,0)</f>
        <v>24</v>
      </c>
      <c r="C2840" s="421">
        <v>14</v>
      </c>
      <c r="D2840" s="41">
        <f>B2835/26/8*2*B2840</f>
        <v>972259.61538461526</v>
      </c>
    </row>
    <row r="2841" spans="1:5" x14ac:dyDescent="0.25">
      <c r="A2841" s="421" t="s">
        <v>593</v>
      </c>
      <c r="B2841" s="412">
        <f>VLOOKUP(B2827,'BANG LUONG 1'!$B$5:$AJ$56,17,0)</f>
        <v>1</v>
      </c>
      <c r="C2841" s="421"/>
      <c r="D2841" s="41">
        <f>(B2835/26)*B2841</f>
        <v>162043.26923076922</v>
      </c>
    </row>
    <row r="2842" spans="1:5" x14ac:dyDescent="0.25">
      <c r="A2842" s="421" t="s">
        <v>388</v>
      </c>
      <c r="B2842" s="412">
        <f>VLOOKUP(B2827,'BANG LUONG 1'!$B$5:$AJ$56,18,0)</f>
        <v>0</v>
      </c>
      <c r="C2842" s="421">
        <v>15</v>
      </c>
      <c r="D2842" s="41">
        <f>(B2835/26*B2842)*3</f>
        <v>0</v>
      </c>
    </row>
    <row r="2843" spans="1:5" x14ac:dyDescent="0.25">
      <c r="A2843" s="421" t="s">
        <v>533</v>
      </c>
      <c r="B2843" s="412">
        <f>VLOOKUP(B2827,'BANG LUONG 1'!$B$5:$AJ$56,19,0)</f>
        <v>5347427.884615384</v>
      </c>
      <c r="C2843" s="183">
        <v>16</v>
      </c>
      <c r="D2843" s="185">
        <f>B2837+D2839+D2840+D2838+D2842+D2841</f>
        <v>5347427.884615384</v>
      </c>
      <c r="E2843" s="108"/>
    </row>
    <row r="2844" spans="1:5" x14ac:dyDescent="0.25">
      <c r="A2844" s="421" t="s">
        <v>535</v>
      </c>
      <c r="B2844" s="412">
        <f>VLOOKUP(B2827,'BANG LUONG 1'!$B$5:$AJ$56,20,0)</f>
        <v>806105.76923076902</v>
      </c>
      <c r="C2844" s="421">
        <v>17</v>
      </c>
      <c r="D2844" s="41"/>
    </row>
    <row r="2845" spans="1:5" x14ac:dyDescent="0.25">
      <c r="A2845" s="421" t="s">
        <v>370</v>
      </c>
      <c r="B2845" s="412">
        <f>VLOOKUP(B2827,'BANG LUONG 1'!$B$5:$AJ$56,22,0)</f>
        <v>0</v>
      </c>
      <c r="C2845" s="421">
        <v>18</v>
      </c>
      <c r="D2845" s="41"/>
    </row>
    <row r="2846" spans="1:5" x14ac:dyDescent="0.25">
      <c r="A2846" s="421" t="s">
        <v>371</v>
      </c>
      <c r="B2846" s="412">
        <f>VLOOKUP(B2827,'BANG LUONG 1'!$B$5:$AJ$56,23,0)</f>
        <v>300000</v>
      </c>
      <c r="C2846" s="421">
        <v>19</v>
      </c>
      <c r="D2846" s="41"/>
    </row>
    <row r="2847" spans="1:5" x14ac:dyDescent="0.25">
      <c r="A2847" s="421" t="s">
        <v>560</v>
      </c>
      <c r="B2847" s="412">
        <f>VLOOKUP(B2827,'BANG LUONG 1'!$B$5:$AJ$56,24,0)</f>
        <v>0</v>
      </c>
      <c r="C2847" s="421">
        <v>22</v>
      </c>
      <c r="D2847" s="41"/>
    </row>
    <row r="2848" spans="1:5" x14ac:dyDescent="0.25">
      <c r="A2848" s="183" t="s">
        <v>237</v>
      </c>
      <c r="B2848" s="415">
        <f>VLOOKUP(B2827,'BANG LUONG 1'!$B$5:$AJ$56,26,0)</f>
        <v>6453533.6538461531</v>
      </c>
      <c r="C2848" s="421">
        <v>24</v>
      </c>
      <c r="D2848" s="41"/>
    </row>
    <row r="2849" spans="1:5" x14ac:dyDescent="0.25">
      <c r="A2849" s="421" t="s">
        <v>545</v>
      </c>
      <c r="B2849" s="412">
        <f>VLOOKUP(B2827,'BANG LUONG 1'!$B$5:$AJ$56,27,0)</f>
        <v>4000000</v>
      </c>
      <c r="C2849" s="421">
        <v>25</v>
      </c>
      <c r="D2849" s="41"/>
    </row>
    <row r="2850" spans="1:5" x14ac:dyDescent="0.25">
      <c r="A2850" s="421" t="s">
        <v>544</v>
      </c>
      <c r="B2850" s="412">
        <f>VLOOKUP(B2827,'BANG LUONG 1'!$B$5:$AJ$56,28,0)</f>
        <v>0</v>
      </c>
      <c r="C2850" s="421">
        <v>26</v>
      </c>
      <c r="D2850" s="41"/>
    </row>
    <row r="2851" spans="1:5" x14ac:dyDescent="0.25">
      <c r="A2851" s="421" t="s">
        <v>712</v>
      </c>
      <c r="B2851" s="415">
        <f>VLOOKUP(B2827,'BANG LUONG 1'!$B$5:$AJ$56,32,0)</f>
        <v>0</v>
      </c>
      <c r="C2851" s="421"/>
      <c r="D2851" s="41"/>
    </row>
    <row r="2852" spans="1:5" x14ac:dyDescent="0.25">
      <c r="A2852" s="421" t="s">
        <v>713</v>
      </c>
      <c r="B2852" s="415">
        <f>VLOOKUP(B2827,'BANG LUONG 1'!$B$5:$AJ$56,33,0)</f>
        <v>0</v>
      </c>
      <c r="C2852" s="421"/>
      <c r="D2852" s="41"/>
    </row>
    <row r="2853" spans="1:5" x14ac:dyDescent="0.25">
      <c r="A2853" s="183" t="s">
        <v>707</v>
      </c>
      <c r="B2853" s="415">
        <f>VLOOKUP(B2827,'BANG LUONG 1'!$B$5:$AJ$56,34,0)</f>
        <v>0</v>
      </c>
      <c r="C2853" s="421"/>
      <c r="D2853" s="41"/>
      <c r="E2853" s="108" t="str">
        <f>B2828</f>
        <v>Nguyễn Đình Tâm</v>
      </c>
    </row>
    <row r="2854" spans="1:5" x14ac:dyDescent="0.25">
      <c r="A2854" s="183" t="s">
        <v>546</v>
      </c>
      <c r="B2854" s="415">
        <f>VLOOKUP(B2827,'BANG LUONG 1'!$B$5:$AJ$56,35,0)</f>
        <v>2554000</v>
      </c>
      <c r="C2854" s="421"/>
      <c r="D2854" s="41"/>
    </row>
    <row r="2855" spans="1:5" x14ac:dyDescent="0.25">
      <c r="A2855" s="183"/>
      <c r="B2855" s="412"/>
      <c r="C2855" s="421">
        <v>27</v>
      </c>
      <c r="D2855" s="185"/>
    </row>
    <row r="2856" spans="1:5" x14ac:dyDescent="0.25">
      <c r="A2856" s="184" t="s">
        <v>549</v>
      </c>
      <c r="B2856" s="424">
        <f>'BANG LUONG 1'!$P$3</f>
        <v>43733</v>
      </c>
    </row>
    <row r="2857" spans="1:5" x14ac:dyDescent="0.25">
      <c r="A2857" s="183" t="s">
        <v>1</v>
      </c>
      <c r="B2857" s="185" t="s">
        <v>166</v>
      </c>
      <c r="C2857" s="421">
        <v>1</v>
      </c>
      <c r="D2857" s="41"/>
    </row>
    <row r="2858" spans="1:5" x14ac:dyDescent="0.25">
      <c r="A2858" s="183" t="s">
        <v>2</v>
      </c>
      <c r="B2858" s="185" t="str">
        <f>VLOOKUP($B2857,'BANG LUONG 1'!$B$6:$AB$48,C2858,0)</f>
        <v>Nguyễn Đình Tâm</v>
      </c>
      <c r="C2858" s="421">
        <v>2</v>
      </c>
      <c r="D2858" s="41"/>
    </row>
    <row r="2859" spans="1:5" x14ac:dyDescent="0.25">
      <c r="A2859" s="421" t="s">
        <v>3</v>
      </c>
      <c r="B2859" s="41" t="str">
        <f>VLOOKUP($B2857,'BANG LUONG 1'!$B$6:$AJ$48,C2859,0)</f>
        <v xml:space="preserve">Công nhân </v>
      </c>
      <c r="C2859" s="421">
        <v>3</v>
      </c>
      <c r="D2859" s="41"/>
    </row>
    <row r="2860" spans="1:5" x14ac:dyDescent="0.25">
      <c r="A2860" s="421" t="s">
        <v>376</v>
      </c>
      <c r="B2860" s="410">
        <f>VLOOKUP($B2857,'BANG LUONG 1'!$B$5:$AJ$56,4,0)</f>
        <v>43648</v>
      </c>
      <c r="C2860" s="421">
        <v>4</v>
      </c>
      <c r="D2860" s="41"/>
    </row>
    <row r="2861" spans="1:5" x14ac:dyDescent="0.25">
      <c r="A2861" s="421" t="s">
        <v>698</v>
      </c>
      <c r="B2861" s="411">
        <f>VLOOKUP(B2857,'BANG LUONG 1'!$B$5:$AJ$56,6,0)</f>
        <v>0</v>
      </c>
      <c r="C2861" s="421">
        <v>5</v>
      </c>
      <c r="D2861" s="41"/>
    </row>
    <row r="2862" spans="1:5" x14ac:dyDescent="0.25">
      <c r="A2862" s="421" t="s">
        <v>229</v>
      </c>
      <c r="B2862" s="412">
        <f>'thang luong moi'!$F$5</f>
        <v>4012500</v>
      </c>
      <c r="C2862" s="421">
        <v>6</v>
      </c>
      <c r="D2862" s="41"/>
    </row>
    <row r="2863" spans="1:5" x14ac:dyDescent="0.25">
      <c r="A2863" s="421" t="s">
        <v>217</v>
      </c>
      <c r="B2863" s="412" t="str">
        <f>VLOOKUP(B2857,'BANG LUONG 1'!$B$5:$AJ$56,8,0)</f>
        <v>B.05</v>
      </c>
      <c r="C2863" s="421">
        <v>7</v>
      </c>
      <c r="D2863" s="41"/>
    </row>
    <row r="2864" spans="1:5" x14ac:dyDescent="0.25">
      <c r="A2864" s="421" t="s">
        <v>230</v>
      </c>
      <c r="B2864" s="412">
        <f>VLOOKUP(B2857,'BANG LUONG 1'!$B$5:$AJ$56,9,0)</f>
        <v>1</v>
      </c>
      <c r="C2864" s="421">
        <v>8</v>
      </c>
      <c r="D2864" s="41"/>
    </row>
    <row r="2865" spans="1:5" x14ac:dyDescent="0.25">
      <c r="A2865" s="421" t="s">
        <v>538</v>
      </c>
      <c r="B2865" s="412">
        <f>VLOOKUP(B2857,'BANG LUONG 1'!$B$5:$AJ$56,11,0)</f>
        <v>4213125</v>
      </c>
      <c r="C2865" s="421">
        <v>9</v>
      </c>
      <c r="D2865" s="41"/>
    </row>
    <row r="2866" spans="1:5" x14ac:dyDescent="0.25">
      <c r="A2866" s="421" t="s">
        <v>354</v>
      </c>
      <c r="B2866" s="412">
        <f>VLOOKUP(B2857,'BANG LUONG 1'!$B$5:$AJ$56,12,0)</f>
        <v>26</v>
      </c>
      <c r="C2866" s="421">
        <v>10</v>
      </c>
      <c r="D2866" s="41"/>
    </row>
    <row r="2867" spans="1:5" x14ac:dyDescent="0.25">
      <c r="A2867" s="421" t="s">
        <v>534</v>
      </c>
      <c r="B2867" s="412">
        <f>VLOOKUP(B2857,'BANG LUONG 1'!$B$5:$AJ$56,13,0)</f>
        <v>4213125</v>
      </c>
      <c r="C2867" s="421">
        <v>11</v>
      </c>
      <c r="D2867" s="41"/>
    </row>
    <row r="2868" spans="1:5" x14ac:dyDescent="0.25">
      <c r="A2868" s="421" t="s">
        <v>592</v>
      </c>
      <c r="B2868" s="412">
        <f>VLOOKUP(B2857,'BANG LUONG 1'!$B$5:$AJ$56,14,0)</f>
        <v>0</v>
      </c>
      <c r="C2868" s="421">
        <v>12</v>
      </c>
      <c r="D2868" s="41">
        <f>B2865/26*B2868</f>
        <v>0</v>
      </c>
    </row>
    <row r="2869" spans="1:5" x14ac:dyDescent="0.25">
      <c r="A2869" s="421" t="s">
        <v>357</v>
      </c>
      <c r="B2869" s="412">
        <f>VLOOKUP(B2857,'BANG LUONG 1'!$B$5:$AJ$56,15,0)</f>
        <v>0</v>
      </c>
      <c r="C2869" s="421">
        <v>13</v>
      </c>
      <c r="D2869" s="41">
        <f>B2865/26/8*1.5*B2869</f>
        <v>0</v>
      </c>
    </row>
    <row r="2870" spans="1:5" x14ac:dyDescent="0.25">
      <c r="A2870" s="421" t="s">
        <v>387</v>
      </c>
      <c r="B2870" s="412">
        <f>VLOOKUP(B2857,'BANG LUONG 1'!$B$5:$AJ$56,16,0)</f>
        <v>24</v>
      </c>
      <c r="C2870" s="421">
        <v>14</v>
      </c>
      <c r="D2870" s="41">
        <f>B2865/26/8*2*B2870</f>
        <v>972259.61538461526</v>
      </c>
    </row>
    <row r="2871" spans="1:5" x14ac:dyDescent="0.25">
      <c r="A2871" s="421" t="s">
        <v>593</v>
      </c>
      <c r="B2871" s="412">
        <f>VLOOKUP(B2857,'BANG LUONG 1'!$B$5:$AJ$56,17,0)</f>
        <v>1</v>
      </c>
      <c r="C2871" s="421"/>
      <c r="D2871" s="41">
        <f>(B2865/26)*B2871</f>
        <v>162043.26923076922</v>
      </c>
    </row>
    <row r="2872" spans="1:5" x14ac:dyDescent="0.25">
      <c r="A2872" s="421" t="s">
        <v>388</v>
      </c>
      <c r="B2872" s="412">
        <f>VLOOKUP(B2857,'BANG LUONG 1'!$B$5:$AJ$56,18,0)</f>
        <v>0</v>
      </c>
      <c r="C2872" s="421">
        <v>15</v>
      </c>
      <c r="D2872" s="41">
        <f>(B2865/26*B2872)*3</f>
        <v>0</v>
      </c>
    </row>
    <row r="2873" spans="1:5" x14ac:dyDescent="0.25">
      <c r="A2873" s="421" t="s">
        <v>533</v>
      </c>
      <c r="B2873" s="412">
        <f>VLOOKUP(B2857,'BANG LUONG 1'!$B$5:$AJ$56,19,0)</f>
        <v>5347427.884615384</v>
      </c>
      <c r="C2873" s="183">
        <v>16</v>
      </c>
      <c r="D2873" s="185">
        <f>B2867+D2869+D2870+D2868+D2872+D2871</f>
        <v>5347427.884615384</v>
      </c>
      <c r="E2873" s="108"/>
    </row>
    <row r="2874" spans="1:5" x14ac:dyDescent="0.25">
      <c r="A2874" s="421" t="s">
        <v>535</v>
      </c>
      <c r="B2874" s="412">
        <f>VLOOKUP(B2857,'BANG LUONG 1'!$B$5:$AJ$56,20,0)</f>
        <v>806105.76923076902</v>
      </c>
      <c r="C2874" s="421">
        <v>17</v>
      </c>
      <c r="D2874" s="41"/>
    </row>
    <row r="2875" spans="1:5" x14ac:dyDescent="0.25">
      <c r="A2875" s="421" t="s">
        <v>370</v>
      </c>
      <c r="B2875" s="412">
        <f>VLOOKUP(B2857,'BANG LUONG 1'!$B$5:$AJ$56,22,0)</f>
        <v>0</v>
      </c>
      <c r="C2875" s="421">
        <v>18</v>
      </c>
      <c r="D2875" s="41"/>
    </row>
    <row r="2876" spans="1:5" x14ac:dyDescent="0.25">
      <c r="A2876" s="421" t="s">
        <v>371</v>
      </c>
      <c r="B2876" s="412">
        <f>VLOOKUP(B2857,'BANG LUONG 1'!$B$5:$AJ$56,23,0)</f>
        <v>300000</v>
      </c>
      <c r="C2876" s="421">
        <v>19</v>
      </c>
      <c r="D2876" s="41"/>
    </row>
    <row r="2877" spans="1:5" x14ac:dyDescent="0.25">
      <c r="A2877" s="421" t="s">
        <v>560</v>
      </c>
      <c r="B2877" s="412">
        <f>VLOOKUP(B2857,'BANG LUONG 1'!$B$5:$AJ$56,24,0)</f>
        <v>0</v>
      </c>
      <c r="C2877" s="421">
        <v>22</v>
      </c>
      <c r="D2877" s="41"/>
    </row>
    <row r="2878" spans="1:5" x14ac:dyDescent="0.25">
      <c r="A2878" s="183" t="s">
        <v>237</v>
      </c>
      <c r="B2878" s="415">
        <f>VLOOKUP(B2857,'BANG LUONG 1'!$B$5:$AJ$56,26,0)</f>
        <v>6453533.6538461531</v>
      </c>
      <c r="C2878" s="421">
        <v>24</v>
      </c>
      <c r="D2878" s="41"/>
    </row>
    <row r="2879" spans="1:5" x14ac:dyDescent="0.25">
      <c r="A2879" s="421" t="s">
        <v>545</v>
      </c>
      <c r="B2879" s="412">
        <f>VLOOKUP(B2857,'BANG LUONG 1'!$B$5:$AJ$56,27,0)</f>
        <v>4000000</v>
      </c>
      <c r="C2879" s="421">
        <v>25</v>
      </c>
      <c r="D2879" s="41"/>
    </row>
    <row r="2880" spans="1:5" x14ac:dyDescent="0.25">
      <c r="A2880" s="421" t="s">
        <v>544</v>
      </c>
      <c r="B2880" s="412">
        <f>VLOOKUP(B2857,'BANG LUONG 1'!$B$5:$AJ$56,28,0)</f>
        <v>0</v>
      </c>
      <c r="C2880" s="421">
        <v>26</v>
      </c>
      <c r="D2880" s="41"/>
    </row>
    <row r="2881" spans="1:5" x14ac:dyDescent="0.25">
      <c r="A2881" s="421" t="s">
        <v>712</v>
      </c>
      <c r="B2881" s="415">
        <f>VLOOKUP(B2857,'BANG LUONG 1'!$B$5:$AJ$56,32,0)</f>
        <v>0</v>
      </c>
      <c r="C2881" s="421"/>
      <c r="D2881" s="41"/>
    </row>
    <row r="2882" spans="1:5" x14ac:dyDescent="0.25">
      <c r="A2882" s="421" t="s">
        <v>713</v>
      </c>
      <c r="B2882" s="415">
        <f>VLOOKUP(B2857,'BANG LUONG 1'!$B$5:$AJ$56,33,0)</f>
        <v>0</v>
      </c>
      <c r="C2882" s="421"/>
      <c r="D2882" s="41"/>
    </row>
    <row r="2883" spans="1:5" x14ac:dyDescent="0.25">
      <c r="A2883" s="183" t="s">
        <v>707</v>
      </c>
      <c r="B2883" s="415">
        <f>VLOOKUP(B2857,'BANG LUONG 1'!$B$5:$AJ$56,34,0)</f>
        <v>0</v>
      </c>
      <c r="C2883" s="421"/>
      <c r="D2883" s="41"/>
      <c r="E2883" s="108" t="str">
        <f>B2858</f>
        <v>Nguyễn Đình Tâm</v>
      </c>
    </row>
    <row r="2884" spans="1:5" x14ac:dyDescent="0.25">
      <c r="A2884" s="183" t="s">
        <v>546</v>
      </c>
      <c r="B2884" s="415">
        <f>VLOOKUP(B2857,'BANG LUONG 1'!$B$5:$AJ$56,35,0)</f>
        <v>2554000</v>
      </c>
      <c r="C2884" s="421"/>
      <c r="D2884" s="41"/>
    </row>
    <row r="2885" spans="1:5" x14ac:dyDescent="0.25">
      <c r="A2885" s="183"/>
      <c r="B2885" s="412"/>
      <c r="C2885" s="421">
        <v>27</v>
      </c>
      <c r="D2885" s="185"/>
    </row>
    <row r="2886" spans="1:5" x14ac:dyDescent="0.25">
      <c r="A2886" s="184" t="s">
        <v>549</v>
      </c>
      <c r="B2886" s="424">
        <f>'BANG LUONG 1'!$P$3</f>
        <v>43733</v>
      </c>
    </row>
    <row r="2887" spans="1:5" x14ac:dyDescent="0.25">
      <c r="A2887" s="183" t="s">
        <v>1</v>
      </c>
      <c r="B2887" s="185" t="s">
        <v>167</v>
      </c>
      <c r="C2887" s="421">
        <v>1</v>
      </c>
      <c r="D2887" s="41"/>
    </row>
    <row r="2888" spans="1:5" x14ac:dyDescent="0.25">
      <c r="A2888" s="183" t="s">
        <v>2</v>
      </c>
      <c r="B2888" s="185" t="e">
        <f>VLOOKUP($B2887,'BANG LUONG 1'!$B$6:$AB$50,C2888,0)</f>
        <v>#N/A</v>
      </c>
      <c r="C2888" s="421">
        <v>2</v>
      </c>
      <c r="D2888" s="41"/>
    </row>
    <row r="2889" spans="1:5" x14ac:dyDescent="0.25">
      <c r="A2889" s="421" t="s">
        <v>3</v>
      </c>
      <c r="B2889" s="41" t="e">
        <f>VLOOKUP($B2887,'BANG LUONG 1'!$B$6:$AJ$48,C2889,0)</f>
        <v>#N/A</v>
      </c>
      <c r="C2889" s="421">
        <v>3</v>
      </c>
      <c r="D2889" s="41"/>
    </row>
    <row r="2890" spans="1:5" x14ac:dyDescent="0.25">
      <c r="A2890" s="421" t="s">
        <v>376</v>
      </c>
      <c r="B2890" s="410">
        <f>VLOOKUP($B2887,'BANG LUONG 1'!$B$5:$AJ$56,4,0)</f>
        <v>43668</v>
      </c>
      <c r="C2890" s="421">
        <v>4</v>
      </c>
      <c r="D2890" s="41"/>
    </row>
    <row r="2891" spans="1:5" x14ac:dyDescent="0.25">
      <c r="A2891" s="421" t="s">
        <v>698</v>
      </c>
      <c r="B2891" s="411">
        <f>VLOOKUP(B2887,'BANG LUONG 1'!$B$5:$AJ$56,6,0)</f>
        <v>0</v>
      </c>
      <c r="C2891" s="421">
        <v>5</v>
      </c>
      <c r="D2891" s="41"/>
    </row>
    <row r="2892" spans="1:5" x14ac:dyDescent="0.25">
      <c r="A2892" s="421" t="s">
        <v>229</v>
      </c>
      <c r="B2892" s="412">
        <f>'thang luong moi'!$F$5</f>
        <v>4012500</v>
      </c>
      <c r="C2892" s="421">
        <v>6</v>
      </c>
      <c r="D2892" s="41"/>
    </row>
    <row r="2893" spans="1:5" x14ac:dyDescent="0.25">
      <c r="A2893" s="421" t="s">
        <v>217</v>
      </c>
      <c r="B2893" s="412" t="str">
        <f>VLOOKUP(B2887,'BANG LUONG 1'!$B$5:$AJ$56,8,0)</f>
        <v>B.05</v>
      </c>
      <c r="C2893" s="421">
        <v>7</v>
      </c>
      <c r="D2893" s="41"/>
    </row>
    <row r="2894" spans="1:5" x14ac:dyDescent="0.25">
      <c r="A2894" s="421" t="s">
        <v>230</v>
      </c>
      <c r="B2894" s="412">
        <f>VLOOKUP(B2887,'BANG LUONG 1'!$B$5:$AJ$56,9,0)</f>
        <v>1</v>
      </c>
      <c r="C2894" s="421">
        <v>8</v>
      </c>
      <c r="D2894" s="41"/>
    </row>
    <row r="2895" spans="1:5" x14ac:dyDescent="0.25">
      <c r="A2895" s="421" t="s">
        <v>538</v>
      </c>
      <c r="B2895" s="412">
        <f>VLOOKUP(B2887,'BANG LUONG 1'!$B$5:$AJ$56,11,0)</f>
        <v>4213125</v>
      </c>
      <c r="C2895" s="421">
        <v>9</v>
      </c>
      <c r="D2895" s="41"/>
    </row>
    <row r="2896" spans="1:5" x14ac:dyDescent="0.25">
      <c r="A2896" s="421" t="s">
        <v>354</v>
      </c>
      <c r="B2896" s="412">
        <f>VLOOKUP(B2887,'BANG LUONG 1'!$B$5:$AJ$56,12,0)</f>
        <v>9.5</v>
      </c>
      <c r="C2896" s="421">
        <v>10</v>
      </c>
      <c r="D2896" s="41"/>
    </row>
    <row r="2897" spans="1:5" x14ac:dyDescent="0.25">
      <c r="A2897" s="421" t="s">
        <v>534</v>
      </c>
      <c r="B2897" s="412">
        <f>VLOOKUP(B2887,'BANG LUONG 1'!$B$5:$AJ$56,13,0)</f>
        <v>1539411.0576923075</v>
      </c>
      <c r="C2897" s="421">
        <v>11</v>
      </c>
      <c r="D2897" s="41"/>
    </row>
    <row r="2898" spans="1:5" x14ac:dyDescent="0.25">
      <c r="A2898" s="421" t="s">
        <v>592</v>
      </c>
      <c r="B2898" s="412">
        <f>VLOOKUP(B2887,'BANG LUONG 1'!$B$5:$AJ$56,14,0)</f>
        <v>0</v>
      </c>
      <c r="C2898" s="421">
        <v>12</v>
      </c>
      <c r="D2898" s="41">
        <f>B2895/26*B2898</f>
        <v>0</v>
      </c>
    </row>
    <row r="2899" spans="1:5" x14ac:dyDescent="0.25">
      <c r="A2899" s="421" t="s">
        <v>357</v>
      </c>
      <c r="B2899" s="412">
        <f>VLOOKUP(B2887,'BANG LUONG 1'!$B$5:$AJ$56,15,0)</f>
        <v>0</v>
      </c>
      <c r="C2899" s="421">
        <v>13</v>
      </c>
      <c r="D2899" s="41">
        <f>B2895/26/8*1.5*B2899</f>
        <v>0</v>
      </c>
    </row>
    <row r="2900" spans="1:5" x14ac:dyDescent="0.25">
      <c r="A2900" s="421" t="s">
        <v>387</v>
      </c>
      <c r="B2900" s="412">
        <f>VLOOKUP(B2887,'BANG LUONG 1'!$B$5:$AJ$56,16,0)</f>
        <v>0</v>
      </c>
      <c r="C2900" s="421">
        <v>14</v>
      </c>
      <c r="D2900" s="41">
        <f>B2895/26/8*2*B2900</f>
        <v>0</v>
      </c>
    </row>
    <row r="2901" spans="1:5" x14ac:dyDescent="0.25">
      <c r="A2901" s="421" t="s">
        <v>593</v>
      </c>
      <c r="B2901" s="412">
        <f>VLOOKUP(B2887,'BANG LUONG 1'!$B$5:$AJ$56,17,0)</f>
        <v>0</v>
      </c>
      <c r="C2901" s="421"/>
      <c r="D2901" s="41">
        <f>(B2895/26)*B2901</f>
        <v>0</v>
      </c>
    </row>
    <row r="2902" spans="1:5" x14ac:dyDescent="0.25">
      <c r="A2902" s="421" t="s">
        <v>388</v>
      </c>
      <c r="B2902" s="412">
        <f>VLOOKUP(B2887,'BANG LUONG 1'!$B$5:$AJ$56,18,0)</f>
        <v>1</v>
      </c>
      <c r="C2902" s="421">
        <v>15</v>
      </c>
      <c r="D2902" s="41">
        <f>(B2895/26*B2902)*3</f>
        <v>486129.80769230763</v>
      </c>
    </row>
    <row r="2903" spans="1:5" x14ac:dyDescent="0.25">
      <c r="A2903" s="421" t="s">
        <v>533</v>
      </c>
      <c r="B2903" s="412">
        <f>VLOOKUP(B2887,'BANG LUONG 1'!$B$5:$AJ$56,19,0)</f>
        <v>2025540.865384615</v>
      </c>
      <c r="C2903" s="183">
        <v>16</v>
      </c>
      <c r="D2903" s="185">
        <f>B2897+D2899+D2900+D2898+D2902+D2901</f>
        <v>2025540.865384615</v>
      </c>
      <c r="E2903" s="108"/>
    </row>
    <row r="2904" spans="1:5" x14ac:dyDescent="0.25">
      <c r="A2904" s="421" t="s">
        <v>535</v>
      </c>
      <c r="B2904" s="412">
        <f>VLOOKUP(B2887,'BANG LUONG 1'!$B$5:$AJ$56,20,0)</f>
        <v>4490288.942307692</v>
      </c>
      <c r="C2904" s="421">
        <v>17</v>
      </c>
      <c r="D2904" s="41"/>
    </row>
    <row r="2905" spans="1:5" x14ac:dyDescent="0.25">
      <c r="A2905" s="421" t="s">
        <v>370</v>
      </c>
      <c r="B2905" s="412">
        <f>VLOOKUP(B2887,'BANG LUONG 1'!$B$5:$AJ$56,22,0)</f>
        <v>0</v>
      </c>
      <c r="C2905" s="421">
        <v>18</v>
      </c>
      <c r="D2905" s="41"/>
    </row>
    <row r="2906" spans="1:5" x14ac:dyDescent="0.25">
      <c r="A2906" s="421" t="s">
        <v>371</v>
      </c>
      <c r="B2906" s="412">
        <f>VLOOKUP(B2887,'BANG LUONG 1'!$B$5:$AJ$56,23,0)</f>
        <v>0</v>
      </c>
      <c r="C2906" s="421">
        <v>19</v>
      </c>
      <c r="D2906" s="41"/>
    </row>
    <row r="2907" spans="1:5" x14ac:dyDescent="0.25">
      <c r="A2907" s="421" t="s">
        <v>560</v>
      </c>
      <c r="B2907" s="412">
        <f>VLOOKUP(B2887,'BANG LUONG 1'!$B$5:$AJ$56,24,0)</f>
        <v>0</v>
      </c>
      <c r="C2907" s="421">
        <v>22</v>
      </c>
      <c r="D2907" s="41"/>
    </row>
    <row r="2908" spans="1:5" x14ac:dyDescent="0.25">
      <c r="A2908" s="183" t="s">
        <v>237</v>
      </c>
      <c r="B2908" s="415">
        <f>VLOOKUP(B2887,'BANG LUONG 1'!$B$5:$AJ$56,26,0)</f>
        <v>6515829.807692307</v>
      </c>
      <c r="C2908" s="421">
        <v>24</v>
      </c>
      <c r="D2908" s="41"/>
    </row>
    <row r="2909" spans="1:5" x14ac:dyDescent="0.25">
      <c r="A2909" s="421" t="s">
        <v>545</v>
      </c>
      <c r="B2909" s="412">
        <f>VLOOKUP(B2887,'BANG LUONG 1'!$B$5:$AJ$56,27,0)</f>
        <v>3000000</v>
      </c>
      <c r="C2909" s="421">
        <v>25</v>
      </c>
      <c r="D2909" s="41"/>
    </row>
    <row r="2910" spans="1:5" x14ac:dyDescent="0.25">
      <c r="A2910" s="421" t="s">
        <v>544</v>
      </c>
      <c r="B2910" s="412">
        <f>VLOOKUP(B2887,'BANG LUONG 1'!$B$5:$AJ$56,28,0)</f>
        <v>0</v>
      </c>
      <c r="C2910" s="421">
        <v>26</v>
      </c>
      <c r="D2910" s="41"/>
    </row>
    <row r="2911" spans="1:5" x14ac:dyDescent="0.25">
      <c r="A2911" s="421" t="s">
        <v>712</v>
      </c>
      <c r="B2911" s="415">
        <f>VLOOKUP(B2887,'BANG LUONG 1'!$B$5:$AJ$56,32,0)</f>
        <v>0</v>
      </c>
      <c r="C2911" s="421"/>
      <c r="D2911" s="41"/>
    </row>
    <row r="2912" spans="1:5" x14ac:dyDescent="0.25">
      <c r="A2912" s="421" t="s">
        <v>713</v>
      </c>
      <c r="B2912" s="415">
        <f>VLOOKUP(B2887,'BANG LUONG 1'!$B$5:$AJ$56,33,0)</f>
        <v>0</v>
      </c>
      <c r="C2912" s="421"/>
      <c r="D2912" s="41"/>
    </row>
    <row r="2913" spans="1:5" x14ac:dyDescent="0.25">
      <c r="A2913" s="183" t="s">
        <v>707</v>
      </c>
      <c r="B2913" s="415">
        <f>VLOOKUP(B2887,'BANG LUONG 1'!$B$5:$AJ$56,34,0)</f>
        <v>0</v>
      </c>
      <c r="C2913" s="421"/>
      <c r="D2913" s="41"/>
      <c r="E2913" s="108" t="e">
        <f>B2888</f>
        <v>#N/A</v>
      </c>
    </row>
    <row r="2914" spans="1:5" x14ac:dyDescent="0.25">
      <c r="A2914" s="183" t="s">
        <v>546</v>
      </c>
      <c r="B2914" s="415">
        <f>VLOOKUP(B2887,'BANG LUONG 1'!$B$5:$AJ$56,35,0)</f>
        <v>3616000</v>
      </c>
      <c r="C2914" s="421"/>
      <c r="D2914" s="41"/>
    </row>
    <row r="2915" spans="1:5" x14ac:dyDescent="0.25">
      <c r="A2915" s="183"/>
      <c r="B2915" s="412"/>
      <c r="C2915" s="421">
        <v>27</v>
      </c>
      <c r="D2915" s="185"/>
    </row>
    <row r="2916" spans="1:5" x14ac:dyDescent="0.25">
      <c r="A2916" s="184" t="s">
        <v>549</v>
      </c>
      <c r="B2916" s="424">
        <f>'BANG LUONG 1'!$P$3</f>
        <v>43733</v>
      </c>
    </row>
    <row r="2917" spans="1:5" x14ac:dyDescent="0.25">
      <c r="A2917" s="183" t="s">
        <v>1</v>
      </c>
      <c r="B2917" s="185" t="s">
        <v>167</v>
      </c>
      <c r="C2917" s="421">
        <v>1</v>
      </c>
      <c r="D2917" s="41"/>
    </row>
    <row r="2918" spans="1:5" x14ac:dyDescent="0.25">
      <c r="A2918" s="183" t="s">
        <v>2</v>
      </c>
      <c r="B2918" s="185" t="e">
        <f>VLOOKUP($B2917,'BANG LUONG 1'!$B$6:$AB$50,C2918,0)</f>
        <v>#N/A</v>
      </c>
      <c r="C2918" s="421">
        <v>2</v>
      </c>
      <c r="D2918" s="41"/>
    </row>
    <row r="2919" spans="1:5" x14ac:dyDescent="0.25">
      <c r="A2919" s="421" t="s">
        <v>3</v>
      </c>
      <c r="B2919" s="41" t="e">
        <f>VLOOKUP($B2917,'BANG LUONG 1'!$B$6:$AJ$48,C2919,0)</f>
        <v>#N/A</v>
      </c>
      <c r="C2919" s="421">
        <v>3</v>
      </c>
      <c r="D2919" s="41"/>
    </row>
    <row r="2920" spans="1:5" x14ac:dyDescent="0.25">
      <c r="A2920" s="421" t="s">
        <v>376</v>
      </c>
      <c r="B2920" s="410">
        <f>VLOOKUP($B2917,'BANG LUONG 1'!$B$5:$AJ$56,4,0)</f>
        <v>43668</v>
      </c>
      <c r="C2920" s="421">
        <v>4</v>
      </c>
      <c r="D2920" s="41"/>
    </row>
    <row r="2921" spans="1:5" x14ac:dyDescent="0.25">
      <c r="A2921" s="421" t="s">
        <v>698</v>
      </c>
      <c r="B2921" s="411">
        <f>VLOOKUP(B2917,'BANG LUONG 1'!$B$5:$AJ$56,6,0)</f>
        <v>0</v>
      </c>
      <c r="C2921" s="421">
        <v>5</v>
      </c>
      <c r="D2921" s="41"/>
    </row>
    <row r="2922" spans="1:5" x14ac:dyDescent="0.25">
      <c r="A2922" s="421" t="s">
        <v>229</v>
      </c>
      <c r="B2922" s="412">
        <f>'thang luong moi'!$F$5</f>
        <v>4012500</v>
      </c>
      <c r="C2922" s="421">
        <v>6</v>
      </c>
      <c r="D2922" s="41"/>
    </row>
    <row r="2923" spans="1:5" x14ac:dyDescent="0.25">
      <c r="A2923" s="421" t="s">
        <v>217</v>
      </c>
      <c r="B2923" s="412" t="str">
        <f>VLOOKUP(B2917,'BANG LUONG 1'!$B$5:$AJ$56,8,0)</f>
        <v>B.05</v>
      </c>
      <c r="C2923" s="421">
        <v>7</v>
      </c>
      <c r="D2923" s="41"/>
    </row>
    <row r="2924" spans="1:5" x14ac:dyDescent="0.25">
      <c r="A2924" s="421" t="s">
        <v>230</v>
      </c>
      <c r="B2924" s="412">
        <f>VLOOKUP(B2917,'BANG LUONG 1'!$B$5:$AJ$56,9,0)</f>
        <v>1</v>
      </c>
      <c r="C2924" s="421">
        <v>8</v>
      </c>
      <c r="D2924" s="41"/>
    </row>
    <row r="2925" spans="1:5" x14ac:dyDescent="0.25">
      <c r="A2925" s="421" t="s">
        <v>538</v>
      </c>
      <c r="B2925" s="412">
        <f>VLOOKUP(B2917,'BANG LUONG 1'!$B$5:$AJ$56,11,0)</f>
        <v>4213125</v>
      </c>
      <c r="C2925" s="421">
        <v>9</v>
      </c>
      <c r="D2925" s="41"/>
    </row>
    <row r="2926" spans="1:5" x14ac:dyDescent="0.25">
      <c r="A2926" s="421" t="s">
        <v>354</v>
      </c>
      <c r="B2926" s="412">
        <f>VLOOKUP(B2917,'BANG LUONG 1'!$B$5:$AJ$56,12,0)</f>
        <v>9.5</v>
      </c>
      <c r="C2926" s="421">
        <v>10</v>
      </c>
      <c r="D2926" s="41"/>
    </row>
    <row r="2927" spans="1:5" x14ac:dyDescent="0.25">
      <c r="A2927" s="421" t="s">
        <v>534</v>
      </c>
      <c r="B2927" s="412">
        <f>VLOOKUP(B2917,'BANG LUONG 1'!$B$5:$AJ$56,13,0)</f>
        <v>1539411.0576923075</v>
      </c>
      <c r="C2927" s="421">
        <v>11</v>
      </c>
      <c r="D2927" s="41"/>
    </row>
    <row r="2928" spans="1:5" x14ac:dyDescent="0.25">
      <c r="A2928" s="421" t="s">
        <v>592</v>
      </c>
      <c r="B2928" s="412">
        <f>VLOOKUP(B2917,'BANG LUONG 1'!$B$5:$AJ$56,14,0)</f>
        <v>0</v>
      </c>
      <c r="C2928" s="421">
        <v>12</v>
      </c>
      <c r="D2928" s="41">
        <f>B2925/26*B2928</f>
        <v>0</v>
      </c>
    </row>
    <row r="2929" spans="1:5" x14ac:dyDescent="0.25">
      <c r="A2929" s="421" t="s">
        <v>357</v>
      </c>
      <c r="B2929" s="412">
        <f>VLOOKUP(B2917,'BANG LUONG 1'!$B$5:$AJ$56,15,0)</f>
        <v>0</v>
      </c>
      <c r="C2929" s="421">
        <v>13</v>
      </c>
      <c r="D2929" s="41">
        <f>B2925/26/8*1.5*B2929</f>
        <v>0</v>
      </c>
    </row>
    <row r="2930" spans="1:5" x14ac:dyDescent="0.25">
      <c r="A2930" s="421" t="s">
        <v>387</v>
      </c>
      <c r="B2930" s="412">
        <f>VLOOKUP(B2917,'BANG LUONG 1'!$B$5:$AJ$56,16,0)</f>
        <v>0</v>
      </c>
      <c r="C2930" s="421">
        <v>14</v>
      </c>
      <c r="D2930" s="41">
        <f>B2925/26/8*2*B2930</f>
        <v>0</v>
      </c>
    </row>
    <row r="2931" spans="1:5" x14ac:dyDescent="0.25">
      <c r="A2931" s="421" t="s">
        <v>593</v>
      </c>
      <c r="B2931" s="412">
        <f>VLOOKUP(B2917,'BANG LUONG 1'!$B$5:$AJ$56,17,0)</f>
        <v>0</v>
      </c>
      <c r="C2931" s="421"/>
      <c r="D2931" s="41">
        <f>(B2925/26)*B2931</f>
        <v>0</v>
      </c>
    </row>
    <row r="2932" spans="1:5" x14ac:dyDescent="0.25">
      <c r="A2932" s="421" t="s">
        <v>388</v>
      </c>
      <c r="B2932" s="412">
        <f>VLOOKUP(B2917,'BANG LUONG 1'!$B$5:$AJ$56,18,0)</f>
        <v>1</v>
      </c>
      <c r="C2932" s="421">
        <v>15</v>
      </c>
      <c r="D2932" s="41">
        <f>(B2925/26*B2932)*3</f>
        <v>486129.80769230763</v>
      </c>
    </row>
    <row r="2933" spans="1:5" x14ac:dyDescent="0.25">
      <c r="A2933" s="421" t="s">
        <v>533</v>
      </c>
      <c r="B2933" s="412">
        <f>VLOOKUP(B2917,'BANG LUONG 1'!$B$5:$AJ$56,19,0)</f>
        <v>2025540.865384615</v>
      </c>
      <c r="C2933" s="183">
        <v>16</v>
      </c>
      <c r="D2933" s="185">
        <f>B2927+D2929+D2930+D2928+D2932+D2931</f>
        <v>2025540.865384615</v>
      </c>
      <c r="E2933" s="108"/>
    </row>
    <row r="2934" spans="1:5" x14ac:dyDescent="0.25">
      <c r="A2934" s="421" t="s">
        <v>535</v>
      </c>
      <c r="B2934" s="412">
        <f>VLOOKUP(B2917,'BANG LUONG 1'!$B$5:$AJ$56,20,0)</f>
        <v>4490288.942307692</v>
      </c>
      <c r="C2934" s="421">
        <v>17</v>
      </c>
      <c r="D2934" s="41"/>
    </row>
    <row r="2935" spans="1:5" x14ac:dyDescent="0.25">
      <c r="A2935" s="421" t="s">
        <v>370</v>
      </c>
      <c r="B2935" s="412">
        <f>VLOOKUP(B2917,'BANG LUONG 1'!$B$5:$AJ$56,22,0)</f>
        <v>0</v>
      </c>
      <c r="C2935" s="421">
        <v>18</v>
      </c>
      <c r="D2935" s="41"/>
    </row>
    <row r="2936" spans="1:5" x14ac:dyDescent="0.25">
      <c r="A2936" s="421" t="s">
        <v>371</v>
      </c>
      <c r="B2936" s="412">
        <f>VLOOKUP(B2917,'BANG LUONG 1'!$B$5:$AJ$56,23,0)</f>
        <v>0</v>
      </c>
      <c r="C2936" s="421">
        <v>19</v>
      </c>
      <c r="D2936" s="41"/>
    </row>
    <row r="2937" spans="1:5" x14ac:dyDescent="0.25">
      <c r="A2937" s="421" t="s">
        <v>560</v>
      </c>
      <c r="B2937" s="412">
        <f>VLOOKUP(B2917,'BANG LUONG 1'!$B$5:$AJ$56,24,0)</f>
        <v>0</v>
      </c>
      <c r="C2937" s="421">
        <v>22</v>
      </c>
      <c r="D2937" s="41"/>
    </row>
    <row r="2938" spans="1:5" x14ac:dyDescent="0.25">
      <c r="A2938" s="183" t="s">
        <v>237</v>
      </c>
      <c r="B2938" s="415">
        <f>VLOOKUP(B2917,'BANG LUONG 1'!$B$5:$AJ$56,26,0)</f>
        <v>6515829.807692307</v>
      </c>
      <c r="C2938" s="421">
        <v>24</v>
      </c>
      <c r="D2938" s="41"/>
    </row>
    <row r="2939" spans="1:5" x14ac:dyDescent="0.25">
      <c r="A2939" s="421" t="s">
        <v>545</v>
      </c>
      <c r="B2939" s="412">
        <f>VLOOKUP(B2917,'BANG LUONG 1'!$B$5:$AJ$56,27,0)</f>
        <v>3000000</v>
      </c>
      <c r="C2939" s="421">
        <v>25</v>
      </c>
      <c r="D2939" s="41"/>
    </row>
    <row r="2940" spans="1:5" x14ac:dyDescent="0.25">
      <c r="A2940" s="421" t="s">
        <v>544</v>
      </c>
      <c r="B2940" s="412">
        <f>VLOOKUP(B2917,'BANG LUONG 1'!$B$5:$AJ$56,28,0)</f>
        <v>0</v>
      </c>
      <c r="C2940" s="421">
        <v>26</v>
      </c>
      <c r="D2940" s="41"/>
    </row>
    <row r="2941" spans="1:5" x14ac:dyDescent="0.25">
      <c r="A2941" s="421" t="s">
        <v>712</v>
      </c>
      <c r="B2941" s="415">
        <f>VLOOKUP(B2917,'BANG LUONG 1'!$B$5:$AJ$56,32,0)</f>
        <v>0</v>
      </c>
      <c r="C2941" s="421"/>
      <c r="D2941" s="41"/>
    </row>
    <row r="2942" spans="1:5" x14ac:dyDescent="0.25">
      <c r="A2942" s="421" t="s">
        <v>713</v>
      </c>
      <c r="B2942" s="415">
        <f>VLOOKUP(B2917,'BANG LUONG 1'!$B$5:$AJ$56,33,0)</f>
        <v>0</v>
      </c>
      <c r="C2942" s="421"/>
      <c r="D2942" s="41"/>
    </row>
    <row r="2943" spans="1:5" x14ac:dyDescent="0.25">
      <c r="A2943" s="183" t="s">
        <v>707</v>
      </c>
      <c r="B2943" s="415">
        <f>VLOOKUP(B2917,'BANG LUONG 1'!$B$5:$AJ$56,34,0)</f>
        <v>0</v>
      </c>
      <c r="C2943" s="421"/>
      <c r="D2943" s="41"/>
      <c r="E2943" s="108" t="e">
        <f>B2918</f>
        <v>#N/A</v>
      </c>
    </row>
    <row r="2944" spans="1:5" x14ac:dyDescent="0.25">
      <c r="A2944" s="183" t="s">
        <v>546</v>
      </c>
      <c r="B2944" s="415">
        <f>VLOOKUP(B2917,'BANG LUONG 1'!$B$5:$AJ$56,35,0)</f>
        <v>3616000</v>
      </c>
      <c r="C2944" s="421"/>
      <c r="D2944" s="41"/>
    </row>
    <row r="2945" spans="1:4" x14ac:dyDescent="0.25">
      <c r="A2945" s="184" t="s">
        <v>549</v>
      </c>
      <c r="B2945" s="424">
        <f>'BANG LUONG 1'!$P$3</f>
        <v>43733</v>
      </c>
    </row>
    <row r="2946" spans="1:4" x14ac:dyDescent="0.25">
      <c r="A2946" s="183" t="s">
        <v>1</v>
      </c>
      <c r="B2946" s="185" t="s">
        <v>168</v>
      </c>
      <c r="C2946" s="421">
        <v>1</v>
      </c>
      <c r="D2946" s="41"/>
    </row>
    <row r="2947" spans="1:4" x14ac:dyDescent="0.25">
      <c r="A2947" s="183" t="s">
        <v>2</v>
      </c>
      <c r="B2947" s="185" t="str">
        <f>VLOOKUP($B2946,'BANG LUONG 1'!$B$6:$AB$51,C2947,0)</f>
        <v>Nguyễn Văn Chương</v>
      </c>
      <c r="C2947" s="421">
        <v>2</v>
      </c>
      <c r="D2947" s="41"/>
    </row>
    <row r="2948" spans="1:4" x14ac:dyDescent="0.25">
      <c r="A2948" s="421" t="s">
        <v>3</v>
      </c>
      <c r="B2948" s="41" t="str">
        <f>VLOOKUP($B2946,'BANG LUONG 1'!$B$6:$AJ$48,C2948,0)</f>
        <v xml:space="preserve">Công nhân </v>
      </c>
      <c r="C2948" s="421">
        <v>3</v>
      </c>
      <c r="D2948" s="41"/>
    </row>
    <row r="2949" spans="1:4" x14ac:dyDescent="0.25">
      <c r="A2949" s="421" t="s">
        <v>376</v>
      </c>
      <c r="B2949" s="410">
        <f>VLOOKUP($B2946,'BANG LUONG 1'!$B$5:$AJ$56,4,0)</f>
        <v>43697</v>
      </c>
      <c r="C2949" s="421">
        <v>4</v>
      </c>
      <c r="D2949" s="41"/>
    </row>
    <row r="2950" spans="1:4" x14ac:dyDescent="0.25">
      <c r="A2950" s="421" t="s">
        <v>698</v>
      </c>
      <c r="B2950" s="411">
        <f>VLOOKUP(B2946,'BANG LUONG 1'!$B$5:$AJ$56,6,0)</f>
        <v>0</v>
      </c>
      <c r="C2950" s="421">
        <v>5</v>
      </c>
      <c r="D2950" s="41"/>
    </row>
    <row r="2951" spans="1:4" x14ac:dyDescent="0.25">
      <c r="A2951" s="421" t="s">
        <v>229</v>
      </c>
      <c r="B2951" s="412">
        <f>'thang luong moi'!$F$5</f>
        <v>4012500</v>
      </c>
      <c r="C2951" s="421">
        <v>6</v>
      </c>
      <c r="D2951" s="41"/>
    </row>
    <row r="2952" spans="1:4" x14ac:dyDescent="0.25">
      <c r="A2952" s="421" t="s">
        <v>217</v>
      </c>
      <c r="B2952" s="412" t="str">
        <f>VLOOKUP(B2946,'BANG LUONG 1'!$B$5:$AJ$56,8,0)</f>
        <v>B.05</v>
      </c>
      <c r="C2952" s="421">
        <v>7</v>
      </c>
      <c r="D2952" s="41"/>
    </row>
    <row r="2953" spans="1:4" x14ac:dyDescent="0.25">
      <c r="A2953" s="421" t="s">
        <v>230</v>
      </c>
      <c r="B2953" s="412">
        <f>VLOOKUP(B2946,'BANG LUONG 1'!$B$5:$AJ$56,9,0)</f>
        <v>1</v>
      </c>
      <c r="C2953" s="421">
        <v>8</v>
      </c>
      <c r="D2953" s="41"/>
    </row>
    <row r="2954" spans="1:4" x14ac:dyDescent="0.25">
      <c r="A2954" s="421" t="s">
        <v>538</v>
      </c>
      <c r="B2954" s="412">
        <f>VLOOKUP(B2946,'BANG LUONG 1'!$B$5:$AJ$56,11,0)</f>
        <v>4213125</v>
      </c>
      <c r="C2954" s="421">
        <v>9</v>
      </c>
      <c r="D2954" s="41"/>
    </row>
    <row r="2955" spans="1:4" x14ac:dyDescent="0.25">
      <c r="A2955" s="421" t="s">
        <v>354</v>
      </c>
      <c r="B2955" s="412">
        <f>VLOOKUP(B2946,'BANG LUONG 1'!$B$5:$AJ$56,12,0)</f>
        <v>26</v>
      </c>
      <c r="C2955" s="421">
        <v>10</v>
      </c>
      <c r="D2955" s="41"/>
    </row>
    <row r="2956" spans="1:4" x14ac:dyDescent="0.25">
      <c r="A2956" s="421" t="s">
        <v>534</v>
      </c>
      <c r="B2956" s="412">
        <f>VLOOKUP(B2946,'BANG LUONG 1'!$B$5:$AJ$56,13,0)</f>
        <v>4213125</v>
      </c>
      <c r="C2956" s="421">
        <v>11</v>
      </c>
      <c r="D2956" s="41"/>
    </row>
    <row r="2957" spans="1:4" x14ac:dyDescent="0.25">
      <c r="A2957" s="421" t="s">
        <v>592</v>
      </c>
      <c r="B2957" s="412">
        <f>VLOOKUP(B2946,'BANG LUONG 1'!$B$5:$AJ$56,14,0)</f>
        <v>0</v>
      </c>
      <c r="C2957" s="421">
        <v>12</v>
      </c>
      <c r="D2957" s="41">
        <f>B2954/26*B2957</f>
        <v>0</v>
      </c>
    </row>
    <row r="2958" spans="1:4" x14ac:dyDescent="0.25">
      <c r="A2958" s="421" t="s">
        <v>357</v>
      </c>
      <c r="B2958" s="412">
        <f>VLOOKUP(B2946,'BANG LUONG 1'!$B$5:$AJ$56,15,0)</f>
        <v>0</v>
      </c>
      <c r="C2958" s="421">
        <v>13</v>
      </c>
      <c r="D2958" s="41">
        <f>B2954/26/8*1.5*B2958</f>
        <v>0</v>
      </c>
    </row>
    <row r="2959" spans="1:4" x14ac:dyDescent="0.25">
      <c r="A2959" s="421" t="s">
        <v>387</v>
      </c>
      <c r="B2959" s="412">
        <f>VLOOKUP(B2946,'BANG LUONG 1'!$B$5:$AJ$56,16,0)</f>
        <v>24</v>
      </c>
      <c r="C2959" s="421">
        <v>14</v>
      </c>
      <c r="D2959" s="41">
        <f>B2954/26/8*2*B2959</f>
        <v>972259.61538461526</v>
      </c>
    </row>
    <row r="2960" spans="1:4" x14ac:dyDescent="0.25">
      <c r="A2960" s="421" t="s">
        <v>593</v>
      </c>
      <c r="B2960" s="412">
        <f>VLOOKUP(B2946,'BANG LUONG 1'!$B$5:$AJ$56,17,0)</f>
        <v>1</v>
      </c>
      <c r="C2960" s="421"/>
      <c r="D2960" s="41">
        <f>(B2954/26)*B2960</f>
        <v>162043.26923076922</v>
      </c>
    </row>
    <row r="2961" spans="1:5" x14ac:dyDescent="0.25">
      <c r="A2961" s="421" t="s">
        <v>388</v>
      </c>
      <c r="B2961" s="412">
        <f>VLOOKUP(B2946,'BANG LUONG 1'!$B$5:$AJ$56,18,0)</f>
        <v>0</v>
      </c>
      <c r="C2961" s="421">
        <v>15</v>
      </c>
      <c r="D2961" s="41">
        <f>(B2954/26*B2961)*3</f>
        <v>0</v>
      </c>
    </row>
    <row r="2962" spans="1:5" x14ac:dyDescent="0.25">
      <c r="A2962" s="421" t="s">
        <v>533</v>
      </c>
      <c r="B2962" s="412">
        <f>VLOOKUP(B2946,'BANG LUONG 1'!$B$5:$AJ$56,19,0)</f>
        <v>5347427.884615384</v>
      </c>
      <c r="C2962" s="183">
        <v>16</v>
      </c>
      <c r="D2962" s="185">
        <f>B2956+D2958+D2959+D2957+D2961+D2960</f>
        <v>5347427.884615384</v>
      </c>
      <c r="E2962" s="108"/>
    </row>
    <row r="2963" spans="1:5" x14ac:dyDescent="0.25">
      <c r="A2963" s="421" t="s">
        <v>535</v>
      </c>
      <c r="B2963" s="412">
        <f>VLOOKUP(B2946,'BANG LUONG 1'!$B$5:$AJ$56,20,0)</f>
        <v>806105.76923076902</v>
      </c>
      <c r="C2963" s="421">
        <v>17</v>
      </c>
      <c r="D2963" s="41"/>
    </row>
    <row r="2964" spans="1:5" x14ac:dyDescent="0.25">
      <c r="A2964" s="421" t="s">
        <v>370</v>
      </c>
      <c r="B2964" s="412">
        <f>VLOOKUP(B2946,'BANG LUONG 1'!$B$5:$AJ$56,22,0)</f>
        <v>0</v>
      </c>
      <c r="C2964" s="421">
        <v>18</v>
      </c>
      <c r="D2964" s="41"/>
    </row>
    <row r="2965" spans="1:5" x14ac:dyDescent="0.25">
      <c r="A2965" s="421" t="s">
        <v>371</v>
      </c>
      <c r="B2965" s="412">
        <f>VLOOKUP(B2946,'BANG LUONG 1'!$B$5:$AJ$56,23,0)</f>
        <v>300000</v>
      </c>
      <c r="C2965" s="421">
        <v>19</v>
      </c>
      <c r="D2965" s="41"/>
    </row>
    <row r="2966" spans="1:5" x14ac:dyDescent="0.25">
      <c r="A2966" s="421" t="s">
        <v>560</v>
      </c>
      <c r="B2966" s="412">
        <f>VLOOKUP(B2946,'BANG LUONG 1'!$B$5:$AJ$56,24,0)</f>
        <v>0</v>
      </c>
      <c r="C2966" s="421">
        <v>22</v>
      </c>
      <c r="D2966" s="41"/>
    </row>
    <row r="2967" spans="1:5" x14ac:dyDescent="0.25">
      <c r="A2967" s="183" t="s">
        <v>237</v>
      </c>
      <c r="B2967" s="415">
        <f>VLOOKUP(B2946,'BANG LUONG 1'!$B$5:$AJ$56,26,0)</f>
        <v>6453533.6538461531</v>
      </c>
      <c r="C2967" s="421">
        <v>24</v>
      </c>
      <c r="D2967" s="41"/>
    </row>
    <row r="2968" spans="1:5" x14ac:dyDescent="0.25">
      <c r="A2968" s="421" t="s">
        <v>545</v>
      </c>
      <c r="B2968" s="412">
        <f>VLOOKUP(B2946,'BANG LUONG 1'!$B$5:$AJ$56,27,0)</f>
        <v>3000000</v>
      </c>
      <c r="C2968" s="421">
        <v>25</v>
      </c>
      <c r="D2968" s="41"/>
    </row>
    <row r="2969" spans="1:5" x14ac:dyDescent="0.25">
      <c r="A2969" s="421" t="s">
        <v>544</v>
      </c>
      <c r="B2969" s="412">
        <f>VLOOKUP(B2946,'BANG LUONG 1'!$B$5:$AJ$56,28,0)</f>
        <v>0</v>
      </c>
      <c r="C2969" s="421">
        <v>26</v>
      </c>
      <c r="D2969" s="41"/>
    </row>
    <row r="2970" spans="1:5" x14ac:dyDescent="0.25">
      <c r="A2970" s="421" t="s">
        <v>712</v>
      </c>
      <c r="B2970" s="415">
        <f>VLOOKUP(B2946,'BANG LUONG 1'!$B$5:$AJ$56,32,0)</f>
        <v>0</v>
      </c>
      <c r="C2970" s="421"/>
      <c r="D2970" s="41"/>
    </row>
    <row r="2971" spans="1:5" x14ac:dyDescent="0.25">
      <c r="A2971" s="421" t="s">
        <v>713</v>
      </c>
      <c r="B2971" s="415">
        <f>VLOOKUP(B2946,'BANG LUONG 1'!$B$5:$AJ$56,33,0)</f>
        <v>0</v>
      </c>
      <c r="C2971" s="421"/>
      <c r="D2971" s="41"/>
    </row>
    <row r="2972" spans="1:5" x14ac:dyDescent="0.25">
      <c r="A2972" s="183" t="s">
        <v>707</v>
      </c>
      <c r="B2972" s="415">
        <f>VLOOKUP(B2946,'BANG LUONG 1'!$B$5:$AJ$56,34,0)</f>
        <v>0</v>
      </c>
      <c r="C2972" s="421"/>
      <c r="D2972" s="41"/>
      <c r="E2972" s="108" t="str">
        <f>B2947</f>
        <v>Nguyễn Văn Chương</v>
      </c>
    </row>
    <row r="2973" spans="1:5" x14ac:dyDescent="0.25">
      <c r="A2973" s="183" t="s">
        <v>546</v>
      </c>
      <c r="B2973" s="415">
        <f>VLOOKUP(B2946,'BANG LUONG 1'!$B$5:$AJ$56,35,0)</f>
        <v>3554000</v>
      </c>
      <c r="C2973" s="421"/>
      <c r="D2973" s="41"/>
    </row>
    <row r="2974" spans="1:5" x14ac:dyDescent="0.25">
      <c r="A2974" s="183"/>
      <c r="B2974" s="412"/>
      <c r="C2974" s="421">
        <v>27</v>
      </c>
      <c r="D2974" s="185"/>
    </row>
    <row r="2975" spans="1:5" x14ac:dyDescent="0.25">
      <c r="A2975" s="184" t="s">
        <v>549</v>
      </c>
      <c r="B2975" s="424">
        <f>'BANG LUONG 1'!$P$3</f>
        <v>43733</v>
      </c>
    </row>
    <row r="2976" spans="1:5" x14ac:dyDescent="0.25">
      <c r="A2976" s="183" t="s">
        <v>1</v>
      </c>
      <c r="B2976" s="185" t="s">
        <v>168</v>
      </c>
      <c r="C2976" s="421">
        <v>1</v>
      </c>
      <c r="D2976" s="41"/>
    </row>
    <row r="2977" spans="1:5" x14ac:dyDescent="0.25">
      <c r="A2977" s="183" t="s">
        <v>2</v>
      </c>
      <c r="B2977" s="185" t="str">
        <f>VLOOKUP($B2976,'BANG LUONG 1'!$B$6:$AB$51,C2977,0)</f>
        <v>Nguyễn Văn Chương</v>
      </c>
      <c r="C2977" s="421">
        <v>2</v>
      </c>
      <c r="D2977" s="41"/>
    </row>
    <row r="2978" spans="1:5" x14ac:dyDescent="0.25">
      <c r="A2978" s="421" t="s">
        <v>3</v>
      </c>
      <c r="B2978" s="41" t="str">
        <f>VLOOKUP($B2976,'BANG LUONG 1'!$B$6:$AJ$48,C2978,0)</f>
        <v xml:space="preserve">Công nhân </v>
      </c>
      <c r="C2978" s="421">
        <v>3</v>
      </c>
      <c r="D2978" s="41"/>
    </row>
    <row r="2979" spans="1:5" x14ac:dyDescent="0.25">
      <c r="A2979" s="421" t="s">
        <v>376</v>
      </c>
      <c r="B2979" s="410">
        <f>VLOOKUP($B2976,'BANG LUONG 1'!$B$5:$AJ$56,4,0)</f>
        <v>43697</v>
      </c>
      <c r="C2979" s="421">
        <v>4</v>
      </c>
      <c r="D2979" s="41"/>
    </row>
    <row r="2980" spans="1:5" x14ac:dyDescent="0.25">
      <c r="A2980" s="421" t="s">
        <v>698</v>
      </c>
      <c r="B2980" s="411">
        <f>VLOOKUP(B2976,'BANG LUONG 1'!$B$5:$AJ$56,6,0)</f>
        <v>0</v>
      </c>
      <c r="C2980" s="421">
        <v>5</v>
      </c>
      <c r="D2980" s="41"/>
    </row>
    <row r="2981" spans="1:5" x14ac:dyDescent="0.25">
      <c r="A2981" s="421" t="s">
        <v>229</v>
      </c>
      <c r="B2981" s="412">
        <f>'thang luong moi'!$F$5</f>
        <v>4012500</v>
      </c>
      <c r="C2981" s="421">
        <v>6</v>
      </c>
      <c r="D2981" s="41"/>
    </row>
    <row r="2982" spans="1:5" x14ac:dyDescent="0.25">
      <c r="A2982" s="421" t="s">
        <v>217</v>
      </c>
      <c r="B2982" s="412" t="str">
        <f>VLOOKUP(B2976,'BANG LUONG 1'!$B$5:$AJ$56,8,0)</f>
        <v>B.05</v>
      </c>
      <c r="C2982" s="421">
        <v>7</v>
      </c>
      <c r="D2982" s="41"/>
    </row>
    <row r="2983" spans="1:5" x14ac:dyDescent="0.25">
      <c r="A2983" s="421" t="s">
        <v>230</v>
      </c>
      <c r="B2983" s="412">
        <f>VLOOKUP(B2976,'BANG LUONG 1'!$B$5:$AJ$56,9,0)</f>
        <v>1</v>
      </c>
      <c r="C2983" s="421">
        <v>8</v>
      </c>
      <c r="D2983" s="41"/>
    </row>
    <row r="2984" spans="1:5" x14ac:dyDescent="0.25">
      <c r="A2984" s="421" t="s">
        <v>538</v>
      </c>
      <c r="B2984" s="412">
        <f>VLOOKUP(B2976,'BANG LUONG 1'!$B$5:$AJ$56,11,0)</f>
        <v>4213125</v>
      </c>
      <c r="C2984" s="421">
        <v>9</v>
      </c>
      <c r="D2984" s="41"/>
    </row>
    <row r="2985" spans="1:5" x14ac:dyDescent="0.25">
      <c r="A2985" s="421" t="s">
        <v>354</v>
      </c>
      <c r="B2985" s="412">
        <f>VLOOKUP(B2976,'BANG LUONG 1'!$B$5:$AJ$56,12,0)</f>
        <v>26</v>
      </c>
      <c r="C2985" s="421">
        <v>10</v>
      </c>
      <c r="D2985" s="41"/>
    </row>
    <row r="2986" spans="1:5" x14ac:dyDescent="0.25">
      <c r="A2986" s="421" t="s">
        <v>534</v>
      </c>
      <c r="B2986" s="412">
        <f>VLOOKUP(B2976,'BANG LUONG 1'!$B$5:$AJ$56,13,0)</f>
        <v>4213125</v>
      </c>
      <c r="C2986" s="421">
        <v>11</v>
      </c>
      <c r="D2986" s="41"/>
    </row>
    <row r="2987" spans="1:5" x14ac:dyDescent="0.25">
      <c r="A2987" s="421" t="s">
        <v>592</v>
      </c>
      <c r="B2987" s="412">
        <f>VLOOKUP(B2976,'BANG LUONG 1'!$B$5:$AJ$56,14,0)</f>
        <v>0</v>
      </c>
      <c r="C2987" s="421">
        <v>12</v>
      </c>
      <c r="D2987" s="41">
        <f>B2984/26*B2987</f>
        <v>0</v>
      </c>
    </row>
    <row r="2988" spans="1:5" x14ac:dyDescent="0.25">
      <c r="A2988" s="421" t="s">
        <v>357</v>
      </c>
      <c r="B2988" s="412">
        <f>VLOOKUP(B2976,'BANG LUONG 1'!$B$5:$AJ$56,15,0)</f>
        <v>0</v>
      </c>
      <c r="C2988" s="421">
        <v>13</v>
      </c>
      <c r="D2988" s="41">
        <f>B2984/26/8*1.5*B2988</f>
        <v>0</v>
      </c>
    </row>
    <row r="2989" spans="1:5" x14ac:dyDescent="0.25">
      <c r="A2989" s="421" t="s">
        <v>387</v>
      </c>
      <c r="B2989" s="412">
        <f>VLOOKUP(B2976,'BANG LUONG 1'!$B$5:$AJ$56,16,0)</f>
        <v>24</v>
      </c>
      <c r="C2989" s="421">
        <v>14</v>
      </c>
      <c r="D2989" s="41">
        <f>B2984/26/8*2*B2989</f>
        <v>972259.61538461526</v>
      </c>
    </row>
    <row r="2990" spans="1:5" x14ac:dyDescent="0.25">
      <c r="A2990" s="421" t="s">
        <v>593</v>
      </c>
      <c r="B2990" s="412">
        <f>VLOOKUP(B2976,'BANG LUONG 1'!$B$5:$AJ$56,17,0)</f>
        <v>1</v>
      </c>
      <c r="C2990" s="421"/>
      <c r="D2990" s="41">
        <f>(B2984/26)*B2990</f>
        <v>162043.26923076922</v>
      </c>
    </row>
    <row r="2991" spans="1:5" x14ac:dyDescent="0.25">
      <c r="A2991" s="421" t="s">
        <v>388</v>
      </c>
      <c r="B2991" s="412">
        <f>VLOOKUP(B2976,'BANG LUONG 1'!$B$5:$AJ$56,18,0)</f>
        <v>0</v>
      </c>
      <c r="C2991" s="421">
        <v>15</v>
      </c>
      <c r="D2991" s="41">
        <f>(B2984/26*B2991)*3</f>
        <v>0</v>
      </c>
    </row>
    <row r="2992" spans="1:5" x14ac:dyDescent="0.25">
      <c r="A2992" s="421" t="s">
        <v>533</v>
      </c>
      <c r="B2992" s="412">
        <f>VLOOKUP(B2976,'BANG LUONG 1'!$B$5:$AJ$56,19,0)</f>
        <v>5347427.884615384</v>
      </c>
      <c r="C2992" s="183">
        <v>16</v>
      </c>
      <c r="D2992" s="185">
        <f>B2986+D2988+D2989+D2987+D2991+D2990</f>
        <v>5347427.884615384</v>
      </c>
      <c r="E2992" s="108"/>
    </row>
    <row r="2993" spans="1:5" x14ac:dyDescent="0.25">
      <c r="A2993" s="421" t="s">
        <v>535</v>
      </c>
      <c r="B2993" s="412">
        <f>VLOOKUP(B2976,'BANG LUONG 1'!$B$5:$AJ$56,20,0)</f>
        <v>806105.76923076902</v>
      </c>
      <c r="C2993" s="421">
        <v>17</v>
      </c>
      <c r="D2993" s="41"/>
    </row>
    <row r="2994" spans="1:5" x14ac:dyDescent="0.25">
      <c r="A2994" s="421" t="s">
        <v>370</v>
      </c>
      <c r="B2994" s="412">
        <f>VLOOKUP(B2976,'BANG LUONG 1'!$B$5:$AJ$56,22,0)</f>
        <v>0</v>
      </c>
      <c r="C2994" s="421">
        <v>18</v>
      </c>
      <c r="D2994" s="41"/>
    </row>
    <row r="2995" spans="1:5" x14ac:dyDescent="0.25">
      <c r="A2995" s="421" t="s">
        <v>371</v>
      </c>
      <c r="B2995" s="412">
        <f>VLOOKUP(B2976,'BANG LUONG 1'!$B$5:$AJ$56,23,0)</f>
        <v>300000</v>
      </c>
      <c r="C2995" s="421">
        <v>19</v>
      </c>
      <c r="D2995" s="41"/>
    </row>
    <row r="2996" spans="1:5" x14ac:dyDescent="0.25">
      <c r="A2996" s="421" t="s">
        <v>560</v>
      </c>
      <c r="B2996" s="412">
        <f>VLOOKUP(B2976,'BANG LUONG 1'!$B$5:$AJ$56,24,0)</f>
        <v>0</v>
      </c>
      <c r="C2996" s="421">
        <v>22</v>
      </c>
      <c r="D2996" s="41"/>
    </row>
    <row r="2997" spans="1:5" x14ac:dyDescent="0.25">
      <c r="A2997" s="183" t="s">
        <v>237</v>
      </c>
      <c r="B2997" s="415">
        <f>VLOOKUP(B2976,'BANG LUONG 1'!$B$5:$AJ$56,26,0)</f>
        <v>6453533.6538461531</v>
      </c>
      <c r="C2997" s="421">
        <v>24</v>
      </c>
      <c r="D2997" s="41"/>
    </row>
    <row r="2998" spans="1:5" x14ac:dyDescent="0.25">
      <c r="A2998" s="421" t="s">
        <v>545</v>
      </c>
      <c r="B2998" s="412">
        <f>VLOOKUP(B2976,'BANG LUONG 1'!$B$5:$AJ$56,27,0)</f>
        <v>3000000</v>
      </c>
      <c r="C2998" s="421">
        <v>25</v>
      </c>
      <c r="D2998" s="41"/>
    </row>
    <row r="2999" spans="1:5" x14ac:dyDescent="0.25">
      <c r="A2999" s="421" t="s">
        <v>544</v>
      </c>
      <c r="B2999" s="412">
        <f>VLOOKUP(B2976,'BANG LUONG 1'!$B$5:$AJ$56,28,0)</f>
        <v>0</v>
      </c>
      <c r="C2999" s="421">
        <v>26</v>
      </c>
      <c r="D2999" s="41"/>
    </row>
    <row r="3000" spans="1:5" x14ac:dyDescent="0.25">
      <c r="A3000" s="421" t="s">
        <v>712</v>
      </c>
      <c r="B3000" s="415">
        <f>VLOOKUP(B2976,'BANG LUONG 1'!$B$5:$AJ$56,32,0)</f>
        <v>0</v>
      </c>
      <c r="C3000" s="421"/>
      <c r="D3000" s="41"/>
    </row>
    <row r="3001" spans="1:5" x14ac:dyDescent="0.25">
      <c r="A3001" s="421" t="s">
        <v>713</v>
      </c>
      <c r="B3001" s="415">
        <f>VLOOKUP(B2976,'BANG LUONG 1'!$B$5:$AJ$56,33,0)</f>
        <v>0</v>
      </c>
      <c r="C3001" s="421"/>
      <c r="D3001" s="41"/>
    </row>
    <row r="3002" spans="1:5" x14ac:dyDescent="0.25">
      <c r="A3002" s="183" t="s">
        <v>707</v>
      </c>
      <c r="B3002" s="415">
        <f>VLOOKUP(B2976,'BANG LUONG 1'!$B$5:$AJ$56,34,0)</f>
        <v>0</v>
      </c>
      <c r="C3002" s="421"/>
      <c r="D3002" s="41"/>
      <c r="E3002" s="108" t="str">
        <f>B2977</f>
        <v>Nguyễn Văn Chương</v>
      </c>
    </row>
    <row r="3003" spans="1:5" x14ac:dyDescent="0.25">
      <c r="A3003" s="183" t="s">
        <v>546</v>
      </c>
      <c r="B3003" s="415">
        <f>VLOOKUP(B2976,'BANG LUONG 1'!$B$5:$AJ$56,35,0)</f>
        <v>3554000</v>
      </c>
      <c r="C3003" s="421"/>
      <c r="D3003" s="41"/>
    </row>
    <row r="3005" spans="1:5" x14ac:dyDescent="0.25">
      <c r="A3005" s="184" t="s">
        <v>549</v>
      </c>
      <c r="B3005" s="424">
        <f>'BANG LUONG 1'!$P$3</f>
        <v>43733</v>
      </c>
    </row>
    <row r="3006" spans="1:5" x14ac:dyDescent="0.25">
      <c r="A3006" s="183" t="s">
        <v>1</v>
      </c>
      <c r="B3006" s="185" t="s">
        <v>169</v>
      </c>
      <c r="C3006" s="421">
        <v>1</v>
      </c>
      <c r="D3006" s="41"/>
    </row>
    <row r="3007" spans="1:5" x14ac:dyDescent="0.25">
      <c r="A3007" s="183" t="s">
        <v>2</v>
      </c>
      <c r="B3007" s="185" t="e">
        <f>VLOOKUP($B3006,'BANG LUONG 1'!$B$6:$AB$51,C3007,0)</f>
        <v>#N/A</v>
      </c>
      <c r="C3007" s="421">
        <v>2</v>
      </c>
      <c r="D3007" s="41"/>
    </row>
    <row r="3008" spans="1:5" x14ac:dyDescent="0.25">
      <c r="A3008" s="421" t="s">
        <v>3</v>
      </c>
      <c r="B3008" s="41" t="e">
        <f>VLOOKUP($B3006,'BANG LUONG 1'!$B$6:$AJ$48,C3008,0)</f>
        <v>#N/A</v>
      </c>
      <c r="C3008" s="421">
        <v>3</v>
      </c>
      <c r="D3008" s="41"/>
    </row>
    <row r="3009" spans="1:4" x14ac:dyDescent="0.25">
      <c r="A3009" s="421" t="s">
        <v>376</v>
      </c>
      <c r="B3009" s="410" t="e">
        <f>VLOOKUP($B3006,'BANG LUONG 1'!$B$5:$AJ$56,4,0)</f>
        <v>#N/A</v>
      </c>
      <c r="C3009" s="421">
        <v>4</v>
      </c>
      <c r="D3009" s="41"/>
    </row>
    <row r="3010" spans="1:4" x14ac:dyDescent="0.25">
      <c r="A3010" s="421" t="s">
        <v>698</v>
      </c>
      <c r="B3010" s="411" t="e">
        <f>VLOOKUP(B3006,'BANG LUONG 1'!$B$5:$AJ$56,6,0)</f>
        <v>#N/A</v>
      </c>
      <c r="C3010" s="421">
        <v>5</v>
      </c>
      <c r="D3010" s="41"/>
    </row>
    <row r="3011" spans="1:4" x14ac:dyDescent="0.25">
      <c r="A3011" s="421" t="s">
        <v>229</v>
      </c>
      <c r="B3011" s="412">
        <f>'thang luong moi'!$F$5</f>
        <v>4012500</v>
      </c>
      <c r="C3011" s="421">
        <v>6</v>
      </c>
      <c r="D3011" s="41"/>
    </row>
    <row r="3012" spans="1:4" x14ac:dyDescent="0.25">
      <c r="A3012" s="421" t="s">
        <v>217</v>
      </c>
      <c r="B3012" s="412" t="e">
        <f>VLOOKUP(B3006,'BANG LUONG 1'!$B$5:$AJ$56,8,0)</f>
        <v>#N/A</v>
      </c>
      <c r="C3012" s="421">
        <v>7</v>
      </c>
      <c r="D3012" s="41"/>
    </row>
    <row r="3013" spans="1:4" x14ac:dyDescent="0.25">
      <c r="A3013" s="421" t="s">
        <v>230</v>
      </c>
      <c r="B3013" s="412" t="e">
        <f>VLOOKUP(B3006,'BANG LUONG 1'!$B$5:$AJ$56,9,0)</f>
        <v>#N/A</v>
      </c>
      <c r="C3013" s="421">
        <v>8</v>
      </c>
      <c r="D3013" s="41"/>
    </row>
    <row r="3014" spans="1:4" x14ac:dyDescent="0.25">
      <c r="A3014" s="421" t="s">
        <v>538</v>
      </c>
      <c r="B3014" s="412" t="e">
        <f>VLOOKUP(B3006,'BANG LUONG 1'!$B$5:$AJ$56,11,0)</f>
        <v>#N/A</v>
      </c>
      <c r="C3014" s="421">
        <v>9</v>
      </c>
      <c r="D3014" s="41"/>
    </row>
    <row r="3015" spans="1:4" x14ac:dyDescent="0.25">
      <c r="A3015" s="421" t="s">
        <v>354</v>
      </c>
      <c r="B3015" s="412" t="e">
        <f>VLOOKUP(B3006,'BANG LUONG 1'!$B$5:$AJ$56,12,0)</f>
        <v>#N/A</v>
      </c>
      <c r="C3015" s="421">
        <v>10</v>
      </c>
      <c r="D3015" s="41"/>
    </row>
    <row r="3016" spans="1:4" x14ac:dyDescent="0.25">
      <c r="A3016" s="421" t="s">
        <v>534</v>
      </c>
      <c r="B3016" s="412" t="e">
        <f>VLOOKUP(B3006,'BANG LUONG 1'!$B$5:$AJ$56,13,0)</f>
        <v>#N/A</v>
      </c>
      <c r="C3016" s="421">
        <v>11</v>
      </c>
      <c r="D3016" s="41"/>
    </row>
    <row r="3017" spans="1:4" x14ac:dyDescent="0.25">
      <c r="A3017" s="421" t="s">
        <v>592</v>
      </c>
      <c r="B3017" s="412" t="e">
        <f>VLOOKUP(B3006,'BANG LUONG 1'!$B$5:$AJ$56,14,0)</f>
        <v>#N/A</v>
      </c>
      <c r="C3017" s="421">
        <v>12</v>
      </c>
      <c r="D3017" s="41" t="e">
        <f>B3014/26*B3017</f>
        <v>#N/A</v>
      </c>
    </row>
    <row r="3018" spans="1:4" x14ac:dyDescent="0.25">
      <c r="A3018" s="421" t="s">
        <v>357</v>
      </c>
      <c r="B3018" s="412" t="e">
        <f>VLOOKUP(B3006,'BANG LUONG 1'!$B$5:$AJ$56,15,0)</f>
        <v>#N/A</v>
      </c>
      <c r="C3018" s="421">
        <v>13</v>
      </c>
      <c r="D3018" s="41" t="e">
        <f>B3014/26/8*1.5*B3018</f>
        <v>#N/A</v>
      </c>
    </row>
    <row r="3019" spans="1:4" x14ac:dyDescent="0.25">
      <c r="A3019" s="421" t="s">
        <v>387</v>
      </c>
      <c r="B3019" s="412" t="e">
        <f>VLOOKUP(B3006,'BANG LUONG 1'!$B$5:$AJ$56,16,0)</f>
        <v>#N/A</v>
      </c>
      <c r="C3019" s="421">
        <v>14</v>
      </c>
      <c r="D3019" s="41" t="e">
        <f>B3014/26/8*2*B3019</f>
        <v>#N/A</v>
      </c>
    </row>
    <row r="3020" spans="1:4" x14ac:dyDescent="0.25">
      <c r="A3020" s="421" t="s">
        <v>593</v>
      </c>
      <c r="B3020" s="412" t="e">
        <f>VLOOKUP(B3006,'BANG LUONG 1'!$B$5:$AJ$56,17,0)</f>
        <v>#N/A</v>
      </c>
      <c r="C3020" s="421"/>
      <c r="D3020" s="41" t="e">
        <f>(B3014/26)*B3020</f>
        <v>#N/A</v>
      </c>
    </row>
    <row r="3021" spans="1:4" x14ac:dyDescent="0.25">
      <c r="A3021" s="421" t="s">
        <v>388</v>
      </c>
      <c r="B3021" s="412" t="e">
        <f>VLOOKUP(B3006,'BANG LUONG 1'!$B$5:$AJ$56,18,0)</f>
        <v>#N/A</v>
      </c>
      <c r="C3021" s="421">
        <v>15</v>
      </c>
      <c r="D3021" s="41" t="e">
        <f>(B3014/26*B3021)*3</f>
        <v>#N/A</v>
      </c>
    </row>
    <row r="3022" spans="1:4" x14ac:dyDescent="0.25">
      <c r="A3022" s="421" t="s">
        <v>533</v>
      </c>
      <c r="B3022" s="412" t="e">
        <f>VLOOKUP(B3006,'BANG LUONG 1'!$B$5:$AJ$56,19,0)</f>
        <v>#N/A</v>
      </c>
      <c r="C3022" s="183">
        <v>16</v>
      </c>
      <c r="D3022" s="185" t="e">
        <f>B3016+D3018+D3019+D3017+D3021+D3020</f>
        <v>#N/A</v>
      </c>
    </row>
    <row r="3023" spans="1:4" x14ac:dyDescent="0.25">
      <c r="A3023" s="421" t="s">
        <v>535</v>
      </c>
      <c r="B3023" s="412" t="e">
        <f>VLOOKUP(B3006,'BANG LUONG 1'!$B$5:$AJ$56,20,0)</f>
        <v>#N/A</v>
      </c>
      <c r="C3023" s="421">
        <v>17</v>
      </c>
      <c r="D3023" s="41"/>
    </row>
    <row r="3024" spans="1:4" x14ac:dyDescent="0.25">
      <c r="A3024" s="421" t="s">
        <v>370</v>
      </c>
      <c r="B3024" s="412" t="e">
        <f>VLOOKUP(B3006,'BANG LUONG 1'!$B$5:$AJ$56,22,0)</f>
        <v>#N/A</v>
      </c>
      <c r="C3024" s="421">
        <v>18</v>
      </c>
      <c r="D3024" s="41"/>
    </row>
    <row r="3025" spans="1:4" x14ac:dyDescent="0.25">
      <c r="A3025" s="421" t="s">
        <v>371</v>
      </c>
      <c r="B3025" s="412" t="e">
        <f>VLOOKUP(B3006,'BANG LUONG 1'!$B$5:$AJ$56,23,0)</f>
        <v>#N/A</v>
      </c>
      <c r="C3025" s="421">
        <v>19</v>
      </c>
      <c r="D3025" s="41"/>
    </row>
    <row r="3026" spans="1:4" x14ac:dyDescent="0.25">
      <c r="A3026" s="421" t="s">
        <v>560</v>
      </c>
      <c r="B3026" s="412" t="e">
        <f>VLOOKUP(B3006,'BANG LUONG 1'!$B$5:$AJ$56,24,0)</f>
        <v>#N/A</v>
      </c>
      <c r="C3026" s="421">
        <v>22</v>
      </c>
      <c r="D3026" s="41"/>
    </row>
    <row r="3027" spans="1:4" x14ac:dyDescent="0.25">
      <c r="A3027" s="183" t="s">
        <v>237</v>
      </c>
      <c r="B3027" s="415" t="e">
        <f>VLOOKUP(B3006,'BANG LUONG 1'!$B$5:$AJ$56,26,0)</f>
        <v>#N/A</v>
      </c>
      <c r="C3027" s="421">
        <v>24</v>
      </c>
      <c r="D3027" s="41"/>
    </row>
    <row r="3028" spans="1:4" x14ac:dyDescent="0.25">
      <c r="A3028" s="421" t="s">
        <v>545</v>
      </c>
      <c r="B3028" s="412" t="e">
        <f>VLOOKUP(B3006,'BANG LUONG 1'!$B$5:$AJ$56,27,0)</f>
        <v>#N/A</v>
      </c>
      <c r="C3028" s="421">
        <v>25</v>
      </c>
      <c r="D3028" s="41"/>
    </row>
    <row r="3029" spans="1:4" x14ac:dyDescent="0.25">
      <c r="A3029" s="421" t="s">
        <v>544</v>
      </c>
      <c r="B3029" s="412" t="e">
        <f>VLOOKUP(B3006,'BANG LUONG 1'!$B$5:$AJ$56,28,0)</f>
        <v>#N/A</v>
      </c>
      <c r="C3029" s="421">
        <v>26</v>
      </c>
      <c r="D3029" s="41"/>
    </row>
    <row r="3030" spans="1:4" x14ac:dyDescent="0.25">
      <c r="A3030" s="421" t="s">
        <v>712</v>
      </c>
      <c r="B3030" s="415" t="e">
        <f>VLOOKUP(B3006,'BANG LUONG 1'!$B$5:$AJ$56,32,0)</f>
        <v>#N/A</v>
      </c>
      <c r="C3030" s="421"/>
      <c r="D3030" s="41"/>
    </row>
    <row r="3031" spans="1:4" x14ac:dyDescent="0.25">
      <c r="A3031" s="421" t="s">
        <v>713</v>
      </c>
      <c r="B3031" s="415" t="e">
        <f>VLOOKUP(B3006,'BANG LUONG 1'!$B$5:$AJ$56,33,0)</f>
        <v>#N/A</v>
      </c>
      <c r="C3031" s="421"/>
      <c r="D3031" s="41"/>
    </row>
    <row r="3032" spans="1:4" x14ac:dyDescent="0.25">
      <c r="A3032" s="183" t="s">
        <v>707</v>
      </c>
      <c r="B3032" s="415" t="e">
        <f>VLOOKUP(B3006,'BANG LUONG 1'!$B$5:$AJ$56,34,0)</f>
        <v>#N/A</v>
      </c>
      <c r="C3032" s="421"/>
      <c r="D3032" s="41"/>
    </row>
    <row r="3033" spans="1:4" x14ac:dyDescent="0.25">
      <c r="A3033" s="183" t="s">
        <v>546</v>
      </c>
      <c r="B3033" s="415" t="e">
        <f>VLOOKUP(B3006,'BANG LUONG 1'!$B$5:$AJ$56,35,0)</f>
        <v>#N/A</v>
      </c>
      <c r="C3033" s="421"/>
      <c r="D3033" s="41"/>
    </row>
    <row r="3035" spans="1:4" x14ac:dyDescent="0.25">
      <c r="A3035" s="184" t="s">
        <v>549</v>
      </c>
      <c r="B3035" s="424">
        <f>'BANG LUONG 1'!$P$3</f>
        <v>43733</v>
      </c>
    </row>
    <row r="3036" spans="1:4" x14ac:dyDescent="0.25">
      <c r="A3036" s="183" t="s">
        <v>1</v>
      </c>
      <c r="B3036" s="185" t="s">
        <v>169</v>
      </c>
      <c r="C3036" s="421">
        <v>1</v>
      </c>
      <c r="D3036" s="41"/>
    </row>
    <row r="3037" spans="1:4" x14ac:dyDescent="0.25">
      <c r="A3037" s="183" t="s">
        <v>2</v>
      </c>
      <c r="B3037" s="185" t="e">
        <f>VLOOKUP($B3036,'BANG LUONG 1'!$B$6:$AB$51,C3037,0)</f>
        <v>#N/A</v>
      </c>
      <c r="C3037" s="421">
        <v>2</v>
      </c>
      <c r="D3037" s="41"/>
    </row>
    <row r="3038" spans="1:4" x14ac:dyDescent="0.25">
      <c r="A3038" s="421" t="s">
        <v>3</v>
      </c>
      <c r="B3038" s="41" t="e">
        <f>VLOOKUP($B3036,'BANG LUONG 1'!$B$6:$AJ$48,C3038,0)</f>
        <v>#N/A</v>
      </c>
      <c r="C3038" s="421">
        <v>3</v>
      </c>
      <c r="D3038" s="41"/>
    </row>
    <row r="3039" spans="1:4" x14ac:dyDescent="0.25">
      <c r="A3039" s="421" t="s">
        <v>376</v>
      </c>
      <c r="B3039" s="410" t="e">
        <f>VLOOKUP($B3036,'BANG LUONG 1'!$B$5:$AJ$56,4,0)</f>
        <v>#N/A</v>
      </c>
      <c r="C3039" s="421">
        <v>4</v>
      </c>
      <c r="D3039" s="41"/>
    </row>
    <row r="3040" spans="1:4" x14ac:dyDescent="0.25">
      <c r="A3040" s="421" t="s">
        <v>698</v>
      </c>
      <c r="B3040" s="411" t="e">
        <f>VLOOKUP(B3036,'BANG LUONG 1'!$B$5:$AJ$56,6,0)</f>
        <v>#N/A</v>
      </c>
      <c r="C3040" s="421">
        <v>5</v>
      </c>
      <c r="D3040" s="41"/>
    </row>
    <row r="3041" spans="1:4" x14ac:dyDescent="0.25">
      <c r="A3041" s="421" t="s">
        <v>229</v>
      </c>
      <c r="B3041" s="412">
        <f>'thang luong moi'!$F$5</f>
        <v>4012500</v>
      </c>
      <c r="C3041" s="421">
        <v>6</v>
      </c>
      <c r="D3041" s="41"/>
    </row>
    <row r="3042" spans="1:4" x14ac:dyDescent="0.25">
      <c r="A3042" s="421" t="s">
        <v>217</v>
      </c>
      <c r="B3042" s="412" t="e">
        <f>VLOOKUP(B3036,'BANG LUONG 1'!$B$5:$AJ$56,8,0)</f>
        <v>#N/A</v>
      </c>
      <c r="C3042" s="421">
        <v>7</v>
      </c>
      <c r="D3042" s="41"/>
    </row>
    <row r="3043" spans="1:4" x14ac:dyDescent="0.25">
      <c r="A3043" s="421" t="s">
        <v>230</v>
      </c>
      <c r="B3043" s="412" t="e">
        <f>VLOOKUP(B3036,'BANG LUONG 1'!$B$5:$AJ$56,9,0)</f>
        <v>#N/A</v>
      </c>
      <c r="C3043" s="421">
        <v>8</v>
      </c>
      <c r="D3043" s="41"/>
    </row>
    <row r="3044" spans="1:4" x14ac:dyDescent="0.25">
      <c r="A3044" s="421" t="s">
        <v>538</v>
      </c>
      <c r="B3044" s="412" t="e">
        <f>VLOOKUP(B3036,'BANG LUONG 1'!$B$5:$AJ$56,11,0)</f>
        <v>#N/A</v>
      </c>
      <c r="C3044" s="421">
        <v>9</v>
      </c>
      <c r="D3044" s="41"/>
    </row>
    <row r="3045" spans="1:4" x14ac:dyDescent="0.25">
      <c r="A3045" s="421" t="s">
        <v>354</v>
      </c>
      <c r="B3045" s="412" t="e">
        <f>VLOOKUP(B3036,'BANG LUONG 1'!$B$5:$AJ$56,12,0)</f>
        <v>#N/A</v>
      </c>
      <c r="C3045" s="421">
        <v>10</v>
      </c>
      <c r="D3045" s="41"/>
    </row>
    <row r="3046" spans="1:4" x14ac:dyDescent="0.25">
      <c r="A3046" s="421" t="s">
        <v>534</v>
      </c>
      <c r="B3046" s="412" t="e">
        <f>VLOOKUP(B3036,'BANG LUONG 1'!$B$5:$AJ$56,13,0)</f>
        <v>#N/A</v>
      </c>
      <c r="C3046" s="421">
        <v>11</v>
      </c>
      <c r="D3046" s="41"/>
    </row>
    <row r="3047" spans="1:4" x14ac:dyDescent="0.25">
      <c r="A3047" s="421" t="s">
        <v>592</v>
      </c>
      <c r="B3047" s="412" t="e">
        <f>VLOOKUP(B3036,'BANG LUONG 1'!$B$5:$AJ$56,14,0)</f>
        <v>#N/A</v>
      </c>
      <c r="C3047" s="421">
        <v>12</v>
      </c>
      <c r="D3047" s="41" t="e">
        <f>B3044/26*B3047</f>
        <v>#N/A</v>
      </c>
    </row>
    <row r="3048" spans="1:4" x14ac:dyDescent="0.25">
      <c r="A3048" s="421" t="s">
        <v>357</v>
      </c>
      <c r="B3048" s="412" t="e">
        <f>VLOOKUP(B3036,'BANG LUONG 1'!$B$5:$AJ$56,15,0)</f>
        <v>#N/A</v>
      </c>
      <c r="C3048" s="421">
        <v>13</v>
      </c>
      <c r="D3048" s="41" t="e">
        <f>B3044/26/8*1.5*B3048</f>
        <v>#N/A</v>
      </c>
    </row>
    <row r="3049" spans="1:4" x14ac:dyDescent="0.25">
      <c r="A3049" s="421" t="s">
        <v>387</v>
      </c>
      <c r="B3049" s="412" t="e">
        <f>VLOOKUP(B3036,'BANG LUONG 1'!$B$5:$AJ$56,16,0)</f>
        <v>#N/A</v>
      </c>
      <c r="C3049" s="421">
        <v>14</v>
      </c>
      <c r="D3049" s="41" t="e">
        <f>B3044/26/8*2*B3049</f>
        <v>#N/A</v>
      </c>
    </row>
    <row r="3050" spans="1:4" x14ac:dyDescent="0.25">
      <c r="A3050" s="421" t="s">
        <v>593</v>
      </c>
      <c r="B3050" s="412" t="e">
        <f>VLOOKUP(B3036,'BANG LUONG 1'!$B$5:$AJ$56,17,0)</f>
        <v>#N/A</v>
      </c>
      <c r="C3050" s="421"/>
      <c r="D3050" s="41" t="e">
        <f>(B3044/26)*B3050</f>
        <v>#N/A</v>
      </c>
    </row>
    <row r="3051" spans="1:4" x14ac:dyDescent="0.25">
      <c r="A3051" s="421" t="s">
        <v>388</v>
      </c>
      <c r="B3051" s="412" t="e">
        <f>VLOOKUP(B3036,'BANG LUONG 1'!$B$5:$AJ$56,18,0)</f>
        <v>#N/A</v>
      </c>
      <c r="C3051" s="421">
        <v>15</v>
      </c>
      <c r="D3051" s="41" t="e">
        <f>(B3044/26*B3051)*3</f>
        <v>#N/A</v>
      </c>
    </row>
    <row r="3052" spans="1:4" x14ac:dyDescent="0.25">
      <c r="A3052" s="421" t="s">
        <v>533</v>
      </c>
      <c r="B3052" s="412" t="e">
        <f>VLOOKUP(B3036,'BANG LUONG 1'!$B$5:$AJ$56,19,0)</f>
        <v>#N/A</v>
      </c>
      <c r="C3052" s="183">
        <v>16</v>
      </c>
      <c r="D3052" s="185" t="e">
        <f>B3046+D3048+D3049+D3047+D3051+D3050</f>
        <v>#N/A</v>
      </c>
    </row>
    <row r="3053" spans="1:4" x14ac:dyDescent="0.25">
      <c r="A3053" s="421" t="s">
        <v>535</v>
      </c>
      <c r="B3053" s="412" t="e">
        <f>VLOOKUP(B3036,'BANG LUONG 1'!$B$5:$AJ$56,20,0)</f>
        <v>#N/A</v>
      </c>
      <c r="C3053" s="421">
        <v>17</v>
      </c>
      <c r="D3053" s="41"/>
    </row>
    <row r="3054" spans="1:4" x14ac:dyDescent="0.25">
      <c r="A3054" s="421" t="s">
        <v>370</v>
      </c>
      <c r="B3054" s="412" t="e">
        <f>VLOOKUP(B3036,'BANG LUONG 1'!$B$5:$AJ$56,22,0)</f>
        <v>#N/A</v>
      </c>
      <c r="C3054" s="421">
        <v>18</v>
      </c>
      <c r="D3054" s="41"/>
    </row>
    <row r="3055" spans="1:4" x14ac:dyDescent="0.25">
      <c r="A3055" s="421" t="s">
        <v>371</v>
      </c>
      <c r="B3055" s="412" t="e">
        <f>VLOOKUP(B3036,'BANG LUONG 1'!$B$5:$AJ$56,23,0)</f>
        <v>#N/A</v>
      </c>
      <c r="C3055" s="421">
        <v>19</v>
      </c>
      <c r="D3055" s="41"/>
    </row>
    <row r="3056" spans="1:4" x14ac:dyDescent="0.25">
      <c r="A3056" s="421" t="s">
        <v>560</v>
      </c>
      <c r="B3056" s="412" t="e">
        <f>VLOOKUP(B3036,'BANG LUONG 1'!$B$5:$AJ$56,24,0)</f>
        <v>#N/A</v>
      </c>
      <c r="C3056" s="421">
        <v>22</v>
      </c>
      <c r="D3056" s="41"/>
    </row>
    <row r="3057" spans="1:4" x14ac:dyDescent="0.25">
      <c r="A3057" s="183" t="s">
        <v>237</v>
      </c>
      <c r="B3057" s="415" t="e">
        <f>VLOOKUP(B3036,'BANG LUONG 1'!$B$5:$AJ$56,26,0)</f>
        <v>#N/A</v>
      </c>
      <c r="C3057" s="421">
        <v>24</v>
      </c>
      <c r="D3057" s="41"/>
    </row>
    <row r="3058" spans="1:4" x14ac:dyDescent="0.25">
      <c r="A3058" s="421" t="s">
        <v>545</v>
      </c>
      <c r="B3058" s="412" t="e">
        <f>VLOOKUP(B3036,'BANG LUONG 1'!$B$5:$AJ$56,27,0)</f>
        <v>#N/A</v>
      </c>
      <c r="C3058" s="421">
        <v>25</v>
      </c>
      <c r="D3058" s="41"/>
    </row>
    <row r="3059" spans="1:4" x14ac:dyDescent="0.25">
      <c r="A3059" s="421" t="s">
        <v>544</v>
      </c>
      <c r="B3059" s="412" t="e">
        <f>VLOOKUP(B3036,'BANG LUONG 1'!$B$5:$AJ$56,28,0)</f>
        <v>#N/A</v>
      </c>
      <c r="C3059" s="421">
        <v>26</v>
      </c>
      <c r="D3059" s="41"/>
    </row>
    <row r="3060" spans="1:4" x14ac:dyDescent="0.25">
      <c r="A3060" s="421" t="s">
        <v>712</v>
      </c>
      <c r="B3060" s="415" t="e">
        <f>VLOOKUP(B3036,'BANG LUONG 1'!$B$5:$AJ$56,32,0)</f>
        <v>#N/A</v>
      </c>
      <c r="C3060" s="421"/>
      <c r="D3060" s="41"/>
    </row>
    <row r="3061" spans="1:4" x14ac:dyDescent="0.25">
      <c r="A3061" s="421" t="s">
        <v>713</v>
      </c>
      <c r="B3061" s="415" t="e">
        <f>VLOOKUP(B3036,'BANG LUONG 1'!$B$5:$AJ$56,33,0)</f>
        <v>#N/A</v>
      </c>
      <c r="C3061" s="421"/>
      <c r="D3061" s="41"/>
    </row>
    <row r="3062" spans="1:4" x14ac:dyDescent="0.25">
      <c r="A3062" s="183" t="s">
        <v>707</v>
      </c>
      <c r="B3062" s="415" t="e">
        <f>VLOOKUP(B3036,'BANG LUONG 1'!$B$5:$AJ$56,34,0)</f>
        <v>#N/A</v>
      </c>
      <c r="C3062" s="421"/>
      <c r="D3062" s="41"/>
    </row>
    <row r="3063" spans="1:4" x14ac:dyDescent="0.25">
      <c r="A3063" s="183" t="s">
        <v>546</v>
      </c>
      <c r="B3063" s="415" t="e">
        <f>VLOOKUP(B3036,'BANG LUONG 1'!$B$5:$AJ$56,35,0)</f>
        <v>#N/A</v>
      </c>
      <c r="C3063" s="421"/>
      <c r="D3063" s="41"/>
    </row>
    <row r="3065" spans="1:4" x14ac:dyDescent="0.25">
      <c r="A3065" s="184" t="s">
        <v>549</v>
      </c>
      <c r="B3065" s="424">
        <f>'BANG LUONG 1'!$P$3</f>
        <v>43733</v>
      </c>
    </row>
    <row r="3066" spans="1:4" x14ac:dyDescent="0.25">
      <c r="A3066" s="183" t="s">
        <v>1</v>
      </c>
      <c r="B3066" s="185" t="s">
        <v>170</v>
      </c>
      <c r="C3066" s="421">
        <v>1</v>
      </c>
      <c r="D3066" s="41"/>
    </row>
    <row r="3067" spans="1:4" x14ac:dyDescent="0.25">
      <c r="A3067" s="183" t="s">
        <v>2</v>
      </c>
      <c r="B3067" s="185" t="e">
        <f>VLOOKUP($B3066,'BANG LUONG 1'!$B$6:$AB$51,C3067,0)</f>
        <v>#N/A</v>
      </c>
      <c r="C3067" s="421">
        <v>2</v>
      </c>
      <c r="D3067" s="41"/>
    </row>
    <row r="3068" spans="1:4" x14ac:dyDescent="0.25">
      <c r="A3068" s="421" t="s">
        <v>3</v>
      </c>
      <c r="B3068" s="41" t="e">
        <f>VLOOKUP($B3066,'BANG LUONG 1'!$B$6:$AJ$48,C3068,0)</f>
        <v>#N/A</v>
      </c>
      <c r="C3068" s="421">
        <v>3</v>
      </c>
      <c r="D3068" s="41"/>
    </row>
    <row r="3069" spans="1:4" x14ac:dyDescent="0.25">
      <c r="A3069" s="421" t="s">
        <v>376</v>
      </c>
      <c r="B3069" s="410" t="e">
        <f>VLOOKUP($B3066,'BANG LUONG 1'!$B$5:$AJ$56,4,0)</f>
        <v>#N/A</v>
      </c>
      <c r="C3069" s="421">
        <v>4</v>
      </c>
      <c r="D3069" s="41"/>
    </row>
    <row r="3070" spans="1:4" x14ac:dyDescent="0.25">
      <c r="A3070" s="421" t="s">
        <v>698</v>
      </c>
      <c r="B3070" s="411" t="e">
        <f>VLOOKUP(B3066,'BANG LUONG 1'!$B$5:$AJ$56,6,0)</f>
        <v>#N/A</v>
      </c>
      <c r="C3070" s="421">
        <v>5</v>
      </c>
      <c r="D3070" s="41"/>
    </row>
    <row r="3071" spans="1:4" x14ac:dyDescent="0.25">
      <c r="A3071" s="421" t="s">
        <v>229</v>
      </c>
      <c r="B3071" s="412">
        <f>'thang luong moi'!$F$5</f>
        <v>4012500</v>
      </c>
      <c r="C3071" s="421">
        <v>6</v>
      </c>
      <c r="D3071" s="41"/>
    </row>
    <row r="3072" spans="1:4" x14ac:dyDescent="0.25">
      <c r="A3072" s="421" t="s">
        <v>217</v>
      </c>
      <c r="B3072" s="412" t="e">
        <f>VLOOKUP(B3066,'BANG LUONG 1'!$B$5:$AJ$56,8,0)</f>
        <v>#N/A</v>
      </c>
      <c r="C3072" s="421">
        <v>7</v>
      </c>
      <c r="D3072" s="41"/>
    </row>
    <row r="3073" spans="1:4" x14ac:dyDescent="0.25">
      <c r="A3073" s="421" t="s">
        <v>230</v>
      </c>
      <c r="B3073" s="412" t="e">
        <f>VLOOKUP(B3066,'BANG LUONG 1'!$B$5:$AJ$56,9,0)</f>
        <v>#N/A</v>
      </c>
      <c r="C3073" s="421">
        <v>8</v>
      </c>
      <c r="D3073" s="41"/>
    </row>
    <row r="3074" spans="1:4" x14ac:dyDescent="0.25">
      <c r="A3074" s="421" t="s">
        <v>538</v>
      </c>
      <c r="B3074" s="412" t="e">
        <f>VLOOKUP(B3066,'BANG LUONG 1'!$B$5:$AJ$56,11,0)</f>
        <v>#N/A</v>
      </c>
      <c r="C3074" s="421">
        <v>9</v>
      </c>
      <c r="D3074" s="41"/>
    </row>
    <row r="3075" spans="1:4" x14ac:dyDescent="0.25">
      <c r="A3075" s="421" t="s">
        <v>354</v>
      </c>
      <c r="B3075" s="412" t="e">
        <f>VLOOKUP(B3066,'BANG LUONG 1'!$B$5:$AJ$56,12,0)</f>
        <v>#N/A</v>
      </c>
      <c r="C3075" s="421">
        <v>10</v>
      </c>
      <c r="D3075" s="41"/>
    </row>
    <row r="3076" spans="1:4" x14ac:dyDescent="0.25">
      <c r="A3076" s="421" t="s">
        <v>534</v>
      </c>
      <c r="B3076" s="412" t="e">
        <f>VLOOKUP(B3066,'BANG LUONG 1'!$B$5:$AJ$56,13,0)</f>
        <v>#N/A</v>
      </c>
      <c r="C3076" s="421">
        <v>11</v>
      </c>
      <c r="D3076" s="41"/>
    </row>
    <row r="3077" spans="1:4" x14ac:dyDescent="0.25">
      <c r="A3077" s="421" t="s">
        <v>592</v>
      </c>
      <c r="B3077" s="412" t="e">
        <f>VLOOKUP(B3066,'BANG LUONG 1'!$B$5:$AJ$56,14,0)</f>
        <v>#N/A</v>
      </c>
      <c r="C3077" s="421">
        <v>12</v>
      </c>
      <c r="D3077" s="41" t="e">
        <f>B3074/26*B3077</f>
        <v>#N/A</v>
      </c>
    </row>
    <row r="3078" spans="1:4" x14ac:dyDescent="0.25">
      <c r="A3078" s="421" t="s">
        <v>357</v>
      </c>
      <c r="B3078" s="412" t="e">
        <f>VLOOKUP(B3066,'BANG LUONG 1'!$B$5:$AJ$56,15,0)</f>
        <v>#N/A</v>
      </c>
      <c r="C3078" s="421">
        <v>13</v>
      </c>
      <c r="D3078" s="41" t="e">
        <f>B3074/26/8*1.5*B3078</f>
        <v>#N/A</v>
      </c>
    </row>
    <row r="3079" spans="1:4" x14ac:dyDescent="0.25">
      <c r="A3079" s="421" t="s">
        <v>387</v>
      </c>
      <c r="B3079" s="412" t="e">
        <f>VLOOKUP(B3066,'BANG LUONG 1'!$B$5:$AJ$56,16,0)</f>
        <v>#N/A</v>
      </c>
      <c r="C3079" s="421">
        <v>14</v>
      </c>
      <c r="D3079" s="41" t="e">
        <f>B3074/26/8*2*B3079</f>
        <v>#N/A</v>
      </c>
    </row>
    <row r="3080" spans="1:4" x14ac:dyDescent="0.25">
      <c r="A3080" s="421" t="s">
        <v>593</v>
      </c>
      <c r="B3080" s="412" t="e">
        <f>VLOOKUP(B3066,'BANG LUONG 1'!$B$5:$AJ$56,17,0)</f>
        <v>#N/A</v>
      </c>
      <c r="C3080" s="421"/>
      <c r="D3080" s="41" t="e">
        <f>(B3074/26)*B3080</f>
        <v>#N/A</v>
      </c>
    </row>
    <row r="3081" spans="1:4" x14ac:dyDescent="0.25">
      <c r="A3081" s="421" t="s">
        <v>388</v>
      </c>
      <c r="B3081" s="412" t="e">
        <f>VLOOKUP(B3066,'BANG LUONG 1'!$B$5:$AJ$56,18,0)</f>
        <v>#N/A</v>
      </c>
      <c r="C3081" s="421">
        <v>15</v>
      </c>
      <c r="D3081" s="41" t="e">
        <f>(B3074/26*B3081)*3</f>
        <v>#N/A</v>
      </c>
    </row>
    <row r="3082" spans="1:4" x14ac:dyDescent="0.25">
      <c r="A3082" s="421" t="s">
        <v>533</v>
      </c>
      <c r="B3082" s="412" t="e">
        <f>VLOOKUP(B3066,'BANG LUONG 1'!$B$5:$AJ$56,19,0)</f>
        <v>#N/A</v>
      </c>
      <c r="C3082" s="183">
        <v>16</v>
      </c>
      <c r="D3082" s="185" t="e">
        <f>B3076+D3078+D3079+D3077+D3081+D3080</f>
        <v>#N/A</v>
      </c>
    </row>
    <row r="3083" spans="1:4" x14ac:dyDescent="0.25">
      <c r="A3083" s="421" t="s">
        <v>535</v>
      </c>
      <c r="B3083" s="412" t="e">
        <f>VLOOKUP(B3066,'BANG LUONG 1'!$B$5:$AJ$56,20,0)</f>
        <v>#N/A</v>
      </c>
      <c r="C3083" s="421">
        <v>17</v>
      </c>
      <c r="D3083" s="41"/>
    </row>
    <row r="3084" spans="1:4" x14ac:dyDescent="0.25">
      <c r="A3084" s="421" t="s">
        <v>370</v>
      </c>
      <c r="B3084" s="412" t="e">
        <f>VLOOKUP(B3066,'BANG LUONG 1'!$B$5:$AJ$56,22,0)</f>
        <v>#N/A</v>
      </c>
      <c r="C3084" s="421">
        <v>18</v>
      </c>
      <c r="D3084" s="41"/>
    </row>
    <row r="3085" spans="1:4" x14ac:dyDescent="0.25">
      <c r="A3085" s="421" t="s">
        <v>371</v>
      </c>
      <c r="B3085" s="412" t="e">
        <f>VLOOKUP(B3066,'BANG LUONG 1'!$B$5:$AJ$56,23,0)</f>
        <v>#N/A</v>
      </c>
      <c r="C3085" s="421">
        <v>19</v>
      </c>
      <c r="D3085" s="41"/>
    </row>
    <row r="3086" spans="1:4" x14ac:dyDescent="0.25">
      <c r="A3086" s="421" t="s">
        <v>560</v>
      </c>
      <c r="B3086" s="412" t="e">
        <f>VLOOKUP(B3066,'BANG LUONG 1'!$B$5:$AJ$56,24,0)</f>
        <v>#N/A</v>
      </c>
      <c r="C3086" s="421">
        <v>22</v>
      </c>
      <c r="D3086" s="41"/>
    </row>
    <row r="3087" spans="1:4" x14ac:dyDescent="0.25">
      <c r="A3087" s="183" t="s">
        <v>237</v>
      </c>
      <c r="B3087" s="415" t="e">
        <f>VLOOKUP(B3066,'BANG LUONG 1'!$B$5:$AJ$56,26,0)</f>
        <v>#N/A</v>
      </c>
      <c r="C3087" s="421">
        <v>24</v>
      </c>
      <c r="D3087" s="41"/>
    </row>
    <row r="3088" spans="1:4" x14ac:dyDescent="0.25">
      <c r="A3088" s="421" t="s">
        <v>545</v>
      </c>
      <c r="B3088" s="412" t="e">
        <f>VLOOKUP(B3066,'BANG LUONG 1'!$B$5:$AJ$56,27,0)</f>
        <v>#N/A</v>
      </c>
      <c r="C3088" s="421">
        <v>25</v>
      </c>
      <c r="D3088" s="41"/>
    </row>
    <row r="3089" spans="1:4" x14ac:dyDescent="0.25">
      <c r="A3089" s="421" t="s">
        <v>544</v>
      </c>
      <c r="B3089" s="412" t="e">
        <f>VLOOKUP(B3066,'BANG LUONG 1'!$B$5:$AJ$56,28,0)</f>
        <v>#N/A</v>
      </c>
      <c r="C3089" s="421">
        <v>26</v>
      </c>
      <c r="D3089" s="41"/>
    </row>
    <row r="3090" spans="1:4" x14ac:dyDescent="0.25">
      <c r="A3090" s="421" t="s">
        <v>712</v>
      </c>
      <c r="B3090" s="415" t="e">
        <f>VLOOKUP(B3066,'BANG LUONG 1'!$B$5:$AJ$56,32,0)</f>
        <v>#N/A</v>
      </c>
      <c r="C3090" s="421"/>
      <c r="D3090" s="41"/>
    </row>
    <row r="3091" spans="1:4" x14ac:dyDescent="0.25">
      <c r="A3091" s="421" t="s">
        <v>713</v>
      </c>
      <c r="B3091" s="415" t="e">
        <f>VLOOKUP(B3066,'BANG LUONG 1'!$B$5:$AJ$56,33,0)</f>
        <v>#N/A</v>
      </c>
      <c r="C3091" s="421"/>
      <c r="D3091" s="41"/>
    </row>
    <row r="3092" spans="1:4" x14ac:dyDescent="0.25">
      <c r="A3092" s="183" t="s">
        <v>707</v>
      </c>
      <c r="B3092" s="415" t="e">
        <f>VLOOKUP(B3066,'BANG LUONG 1'!$B$5:$AJ$56,34,0)</f>
        <v>#N/A</v>
      </c>
      <c r="C3092" s="421"/>
      <c r="D3092" s="41"/>
    </row>
    <row r="3093" spans="1:4" x14ac:dyDescent="0.25">
      <c r="A3093" s="183" t="s">
        <v>546</v>
      </c>
      <c r="B3093" s="415" t="e">
        <f>VLOOKUP(B3066,'BANG LUONG 1'!$B$5:$AJ$56,35,0)</f>
        <v>#N/A</v>
      </c>
      <c r="C3093" s="421"/>
      <c r="D3093" s="41"/>
    </row>
    <row r="3095" spans="1:4" x14ac:dyDescent="0.25">
      <c r="A3095" s="184" t="s">
        <v>549</v>
      </c>
      <c r="B3095" s="424">
        <f>'BANG LUONG 1'!$P$3</f>
        <v>43733</v>
      </c>
    </row>
    <row r="3096" spans="1:4" x14ac:dyDescent="0.25">
      <c r="A3096" s="183" t="s">
        <v>1</v>
      </c>
      <c r="B3096" s="185" t="s">
        <v>170</v>
      </c>
      <c r="C3096" s="421">
        <v>1</v>
      </c>
      <c r="D3096" s="41"/>
    </row>
    <row r="3097" spans="1:4" x14ac:dyDescent="0.25">
      <c r="A3097" s="183" t="s">
        <v>2</v>
      </c>
      <c r="B3097" s="185" t="e">
        <f>VLOOKUP($B3096,'BANG LUONG 1'!$B$6:$AB$51,C3097,0)</f>
        <v>#N/A</v>
      </c>
      <c r="C3097" s="421">
        <v>2</v>
      </c>
      <c r="D3097" s="41"/>
    </row>
    <row r="3098" spans="1:4" x14ac:dyDescent="0.25">
      <c r="A3098" s="421" t="s">
        <v>3</v>
      </c>
      <c r="B3098" s="41" t="e">
        <f>VLOOKUP($B3096,'BANG LUONG 1'!$B$6:$AJ$48,C3098,0)</f>
        <v>#N/A</v>
      </c>
      <c r="C3098" s="421">
        <v>3</v>
      </c>
      <c r="D3098" s="41"/>
    </row>
    <row r="3099" spans="1:4" x14ac:dyDescent="0.25">
      <c r="A3099" s="421" t="s">
        <v>376</v>
      </c>
      <c r="B3099" s="410" t="e">
        <f>VLOOKUP($B3096,'BANG LUONG 1'!$B$5:$AJ$56,4,0)</f>
        <v>#N/A</v>
      </c>
      <c r="C3099" s="421">
        <v>4</v>
      </c>
      <c r="D3099" s="41"/>
    </row>
    <row r="3100" spans="1:4" x14ac:dyDescent="0.25">
      <c r="A3100" s="421" t="s">
        <v>698</v>
      </c>
      <c r="B3100" s="411" t="e">
        <f>VLOOKUP(B3096,'BANG LUONG 1'!$B$5:$AJ$56,6,0)</f>
        <v>#N/A</v>
      </c>
      <c r="C3100" s="421">
        <v>5</v>
      </c>
      <c r="D3100" s="41"/>
    </row>
    <row r="3101" spans="1:4" x14ac:dyDescent="0.25">
      <c r="A3101" s="421" t="s">
        <v>229</v>
      </c>
      <c r="B3101" s="412">
        <f>'thang luong moi'!$F$5</f>
        <v>4012500</v>
      </c>
      <c r="C3101" s="421">
        <v>6</v>
      </c>
      <c r="D3101" s="41"/>
    </row>
    <row r="3102" spans="1:4" x14ac:dyDescent="0.25">
      <c r="A3102" s="421" t="s">
        <v>217</v>
      </c>
      <c r="B3102" s="412" t="e">
        <f>VLOOKUP(B3096,'BANG LUONG 1'!$B$5:$AJ$56,8,0)</f>
        <v>#N/A</v>
      </c>
      <c r="C3102" s="421">
        <v>7</v>
      </c>
      <c r="D3102" s="41"/>
    </row>
    <row r="3103" spans="1:4" x14ac:dyDescent="0.25">
      <c r="A3103" s="421" t="s">
        <v>230</v>
      </c>
      <c r="B3103" s="412" t="e">
        <f>VLOOKUP(B3096,'BANG LUONG 1'!$B$5:$AJ$56,9,0)</f>
        <v>#N/A</v>
      </c>
      <c r="C3103" s="421">
        <v>8</v>
      </c>
      <c r="D3103" s="41"/>
    </row>
    <row r="3104" spans="1:4" x14ac:dyDescent="0.25">
      <c r="A3104" s="421" t="s">
        <v>538</v>
      </c>
      <c r="B3104" s="412" t="e">
        <f>VLOOKUP(B3096,'BANG LUONG 1'!$B$5:$AJ$56,11,0)</f>
        <v>#N/A</v>
      </c>
      <c r="C3104" s="421">
        <v>9</v>
      </c>
      <c r="D3104" s="41"/>
    </row>
    <row r="3105" spans="1:4" x14ac:dyDescent="0.25">
      <c r="A3105" s="421" t="s">
        <v>354</v>
      </c>
      <c r="B3105" s="412" t="e">
        <f>VLOOKUP(B3096,'BANG LUONG 1'!$B$5:$AJ$56,12,0)</f>
        <v>#N/A</v>
      </c>
      <c r="C3105" s="421">
        <v>10</v>
      </c>
      <c r="D3105" s="41"/>
    </row>
    <row r="3106" spans="1:4" x14ac:dyDescent="0.25">
      <c r="A3106" s="421" t="s">
        <v>534</v>
      </c>
      <c r="B3106" s="412" t="e">
        <f>VLOOKUP(B3096,'BANG LUONG 1'!$B$5:$AJ$56,13,0)</f>
        <v>#N/A</v>
      </c>
      <c r="C3106" s="421">
        <v>11</v>
      </c>
      <c r="D3106" s="41"/>
    </row>
    <row r="3107" spans="1:4" x14ac:dyDescent="0.25">
      <c r="A3107" s="421" t="s">
        <v>592</v>
      </c>
      <c r="B3107" s="412" t="e">
        <f>VLOOKUP(B3096,'BANG LUONG 1'!$B$5:$AJ$56,14,0)</f>
        <v>#N/A</v>
      </c>
      <c r="C3107" s="421">
        <v>12</v>
      </c>
      <c r="D3107" s="41" t="e">
        <f>B3104/26*B3107</f>
        <v>#N/A</v>
      </c>
    </row>
    <row r="3108" spans="1:4" x14ac:dyDescent="0.25">
      <c r="A3108" s="421" t="s">
        <v>357</v>
      </c>
      <c r="B3108" s="412" t="e">
        <f>VLOOKUP(B3096,'BANG LUONG 1'!$B$5:$AJ$56,15,0)</f>
        <v>#N/A</v>
      </c>
      <c r="C3108" s="421">
        <v>13</v>
      </c>
      <c r="D3108" s="41" t="e">
        <f>B3104/26/8*1.5*B3108</f>
        <v>#N/A</v>
      </c>
    </row>
    <row r="3109" spans="1:4" x14ac:dyDescent="0.25">
      <c r="A3109" s="421" t="s">
        <v>387</v>
      </c>
      <c r="B3109" s="412" t="e">
        <f>VLOOKUP(B3096,'BANG LUONG 1'!$B$5:$AJ$56,16,0)</f>
        <v>#N/A</v>
      </c>
      <c r="C3109" s="421">
        <v>14</v>
      </c>
      <c r="D3109" s="41" t="e">
        <f>B3104/26/8*2*B3109</f>
        <v>#N/A</v>
      </c>
    </row>
    <row r="3110" spans="1:4" x14ac:dyDescent="0.25">
      <c r="A3110" s="421" t="s">
        <v>593</v>
      </c>
      <c r="B3110" s="412" t="e">
        <f>VLOOKUP(B3096,'BANG LUONG 1'!$B$5:$AJ$56,17,0)</f>
        <v>#N/A</v>
      </c>
      <c r="C3110" s="421"/>
      <c r="D3110" s="41" t="e">
        <f>(B3104/26)*B3110</f>
        <v>#N/A</v>
      </c>
    </row>
    <row r="3111" spans="1:4" x14ac:dyDescent="0.25">
      <c r="A3111" s="421" t="s">
        <v>388</v>
      </c>
      <c r="B3111" s="412" t="e">
        <f>VLOOKUP(B3096,'BANG LUONG 1'!$B$5:$AJ$56,18,0)</f>
        <v>#N/A</v>
      </c>
      <c r="C3111" s="421">
        <v>15</v>
      </c>
      <c r="D3111" s="41" t="e">
        <f>(B3104/26*B3111)*3</f>
        <v>#N/A</v>
      </c>
    </row>
    <row r="3112" spans="1:4" x14ac:dyDescent="0.25">
      <c r="A3112" s="421" t="s">
        <v>533</v>
      </c>
      <c r="B3112" s="412" t="e">
        <f>VLOOKUP(B3096,'BANG LUONG 1'!$B$5:$AJ$56,19,0)</f>
        <v>#N/A</v>
      </c>
      <c r="C3112" s="183">
        <v>16</v>
      </c>
      <c r="D3112" s="185" t="e">
        <f>B3106+D3108+D3109+D3107+D3111+D3110</f>
        <v>#N/A</v>
      </c>
    </row>
    <row r="3113" spans="1:4" x14ac:dyDescent="0.25">
      <c r="A3113" s="421" t="s">
        <v>535</v>
      </c>
      <c r="B3113" s="412" t="e">
        <f>VLOOKUP(B3096,'BANG LUONG 1'!$B$5:$AJ$56,20,0)</f>
        <v>#N/A</v>
      </c>
      <c r="C3113" s="421">
        <v>17</v>
      </c>
      <c r="D3113" s="41"/>
    </row>
    <row r="3114" spans="1:4" x14ac:dyDescent="0.25">
      <c r="A3114" s="421" t="s">
        <v>370</v>
      </c>
      <c r="B3114" s="412" t="e">
        <f>VLOOKUP(B3096,'BANG LUONG 1'!$B$5:$AJ$56,22,0)</f>
        <v>#N/A</v>
      </c>
      <c r="C3114" s="421">
        <v>18</v>
      </c>
      <c r="D3114" s="41"/>
    </row>
    <row r="3115" spans="1:4" x14ac:dyDescent="0.25">
      <c r="A3115" s="421" t="s">
        <v>371</v>
      </c>
      <c r="B3115" s="412" t="e">
        <f>VLOOKUP(B3096,'BANG LUONG 1'!$B$5:$AJ$56,23,0)</f>
        <v>#N/A</v>
      </c>
      <c r="C3115" s="421">
        <v>19</v>
      </c>
      <c r="D3115" s="41"/>
    </row>
    <row r="3116" spans="1:4" x14ac:dyDescent="0.25">
      <c r="A3116" s="421" t="s">
        <v>560</v>
      </c>
      <c r="B3116" s="412" t="e">
        <f>VLOOKUP(B3096,'BANG LUONG 1'!$B$5:$AJ$56,24,0)</f>
        <v>#N/A</v>
      </c>
      <c r="C3116" s="421">
        <v>22</v>
      </c>
      <c r="D3116" s="41"/>
    </row>
    <row r="3117" spans="1:4" x14ac:dyDescent="0.25">
      <c r="A3117" s="183" t="s">
        <v>237</v>
      </c>
      <c r="B3117" s="415" t="e">
        <f>VLOOKUP(B3096,'BANG LUONG 1'!$B$5:$AJ$56,26,0)</f>
        <v>#N/A</v>
      </c>
      <c r="C3117" s="421">
        <v>24</v>
      </c>
      <c r="D3117" s="41"/>
    </row>
    <row r="3118" spans="1:4" x14ac:dyDescent="0.25">
      <c r="A3118" s="421" t="s">
        <v>545</v>
      </c>
      <c r="B3118" s="412" t="e">
        <f>VLOOKUP(B3096,'BANG LUONG 1'!$B$5:$AJ$56,27,0)</f>
        <v>#N/A</v>
      </c>
      <c r="C3118" s="421">
        <v>25</v>
      </c>
      <c r="D3118" s="41"/>
    </row>
    <row r="3119" spans="1:4" x14ac:dyDescent="0.25">
      <c r="A3119" s="421" t="s">
        <v>544</v>
      </c>
      <c r="B3119" s="412" t="e">
        <f>VLOOKUP(B3096,'BANG LUONG 1'!$B$5:$AJ$56,28,0)</f>
        <v>#N/A</v>
      </c>
      <c r="C3119" s="421">
        <v>26</v>
      </c>
      <c r="D3119" s="41"/>
    </row>
    <row r="3120" spans="1:4" x14ac:dyDescent="0.25">
      <c r="A3120" s="421" t="s">
        <v>712</v>
      </c>
      <c r="B3120" s="415" t="e">
        <f>VLOOKUP(B3096,'BANG LUONG 1'!$B$5:$AJ$56,32,0)</f>
        <v>#N/A</v>
      </c>
      <c r="C3120" s="421"/>
      <c r="D3120" s="41"/>
    </row>
    <row r="3121" spans="1:4" x14ac:dyDescent="0.25">
      <c r="A3121" s="421" t="s">
        <v>713</v>
      </c>
      <c r="B3121" s="415" t="e">
        <f>VLOOKUP(B3096,'BANG LUONG 1'!$B$5:$AJ$56,33,0)</f>
        <v>#N/A</v>
      </c>
      <c r="C3121" s="421"/>
      <c r="D3121" s="41"/>
    </row>
    <row r="3122" spans="1:4" x14ac:dyDescent="0.25">
      <c r="A3122" s="183" t="s">
        <v>707</v>
      </c>
      <c r="B3122" s="415" t="e">
        <f>VLOOKUP(B3096,'BANG LUONG 1'!$B$5:$AJ$56,34,0)</f>
        <v>#N/A</v>
      </c>
      <c r="C3122" s="421"/>
      <c r="D3122" s="41"/>
    </row>
    <row r="3123" spans="1:4" x14ac:dyDescent="0.25">
      <c r="A3123" s="183" t="s">
        <v>546</v>
      </c>
      <c r="B3123" s="415" t="e">
        <f>VLOOKUP(B3096,'BANG LUONG 1'!$B$5:$AJ$56,35,0)</f>
        <v>#N/A</v>
      </c>
      <c r="C3123" s="421"/>
      <c r="D3123" s="41"/>
    </row>
  </sheetData>
  <mergeCells count="4">
    <mergeCell ref="E1472:G1472"/>
    <mergeCell ref="E2008:G2008"/>
    <mergeCell ref="E1502:G1502"/>
    <mergeCell ref="E2037:G2037"/>
  </mergeCells>
  <pageMargins left="0.98425196850393704" right="0" top="0.25" bottom="0" header="3.9370078740157501E-2" footer="3.9370078740157501E-2"/>
  <pageSetup paperSize="11" scale="90" orientation="landscape" r:id="rId1"/>
  <rowBreaks count="35" manualBreakCount="35">
    <brk id="351" max="16383" man="1"/>
    <brk id="409" max="16383" man="1"/>
    <brk id="583" max="16383" man="1"/>
    <brk id="815" max="16383" man="1"/>
    <brk id="989" max="16383" man="1"/>
    <brk id="1105" max="16383" man="1"/>
    <brk id="1162" max="16383" man="1"/>
    <brk id="1222" max="16383" man="1"/>
    <brk id="1281" max="16383" man="1"/>
    <brk id="1341" max="16383" man="1"/>
    <brk id="1400" max="16383" man="1"/>
    <brk id="1460" max="16383" man="1"/>
    <brk id="1520" max="16383" man="1"/>
    <brk id="1579" max="16383" man="1"/>
    <brk id="1639" max="16383" man="1"/>
    <brk id="1699" max="16383" man="1"/>
    <brk id="1759" max="16383" man="1"/>
    <brk id="1818" max="16383" man="1"/>
    <brk id="1937" max="16383" man="1"/>
    <brk id="1995" max="16383" man="1"/>
    <brk id="2053" max="16383" man="1"/>
    <brk id="2111" max="16383" man="1"/>
    <brk id="2227" max="16383" man="1"/>
    <brk id="2287" max="16383" man="1"/>
    <brk id="2346" max="16383" man="1"/>
    <brk id="2406" max="16383" man="1"/>
    <brk id="2465" max="16383" man="1"/>
    <brk id="2525" max="16383" man="1"/>
    <brk id="2585" max="16383" man="1"/>
    <brk id="2645" max="16383" man="1"/>
    <brk id="2705" max="16383" man="1"/>
    <brk id="2765" max="16383" man="1"/>
    <brk id="2825" max="16383" man="1"/>
    <brk id="2884" max="16383" man="1"/>
    <brk id="2944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78"/>
  <sheetViews>
    <sheetView topLeftCell="A49" zoomScale="70" zoomScaleNormal="70" workbookViewId="0">
      <selection activeCell="M21" sqref="M21"/>
    </sheetView>
  </sheetViews>
  <sheetFormatPr defaultRowHeight="15" x14ac:dyDescent="0.25"/>
  <cols>
    <col min="1" max="1" width="61.85546875" customWidth="1"/>
    <col min="2" max="5" width="11.5703125" customWidth="1"/>
    <col min="6" max="6" width="13.42578125" customWidth="1"/>
    <col min="7" max="9" width="11.5703125" customWidth="1"/>
  </cols>
  <sheetData>
    <row r="1" spans="1:9" ht="20.25" x14ac:dyDescent="0.3">
      <c r="A1" s="279" t="s">
        <v>634</v>
      </c>
      <c r="B1" s="280"/>
      <c r="C1" s="280"/>
      <c r="D1" s="280"/>
      <c r="E1" s="280"/>
      <c r="F1" s="280"/>
      <c r="G1" s="281"/>
      <c r="H1" s="281"/>
      <c r="I1" s="281"/>
    </row>
    <row r="2" spans="1:9" ht="25.5" x14ac:dyDescent="0.35">
      <c r="A2" s="281"/>
      <c r="B2" s="281"/>
      <c r="C2" s="282" t="s">
        <v>635</v>
      </c>
      <c r="D2" s="281"/>
      <c r="E2" s="281"/>
      <c r="F2" s="281"/>
      <c r="G2" s="281"/>
      <c r="H2" s="281"/>
      <c r="I2" s="281"/>
    </row>
    <row r="3" spans="1:9" x14ac:dyDescent="0.25">
      <c r="A3" s="281"/>
      <c r="B3" s="281"/>
      <c r="C3" s="281"/>
      <c r="D3" s="281"/>
      <c r="E3" s="281"/>
      <c r="F3" s="281"/>
      <c r="G3" s="281"/>
      <c r="H3" s="281"/>
      <c r="I3" s="281"/>
    </row>
    <row r="4" spans="1:9" ht="15.75" x14ac:dyDescent="0.25">
      <c r="A4" s="283" t="s">
        <v>636</v>
      </c>
      <c r="B4" s="281"/>
      <c r="C4" s="281"/>
      <c r="D4" s="281"/>
      <c r="E4" s="281"/>
      <c r="F4" s="281"/>
      <c r="G4" s="281"/>
      <c r="H4" s="281"/>
      <c r="I4" s="281"/>
    </row>
    <row r="5" spans="1:9" x14ac:dyDescent="0.25">
      <c r="A5" s="281" t="s">
        <v>637</v>
      </c>
      <c r="B5" s="281"/>
      <c r="C5" s="281"/>
      <c r="D5" s="281"/>
      <c r="E5" s="281"/>
      <c r="F5" s="284">
        <v>4012500</v>
      </c>
      <c r="G5" s="281" t="s">
        <v>638</v>
      </c>
      <c r="H5" s="281"/>
      <c r="I5" s="281"/>
    </row>
    <row r="6" spans="1:9" x14ac:dyDescent="0.25">
      <c r="A6" s="281"/>
      <c r="B6" s="281"/>
      <c r="C6" s="281"/>
      <c r="D6" s="281"/>
      <c r="E6" s="281"/>
      <c r="F6" s="281"/>
      <c r="G6" s="281"/>
      <c r="H6" s="281"/>
      <c r="I6" s="281"/>
    </row>
    <row r="7" spans="1:9" ht="15.75" x14ac:dyDescent="0.25">
      <c r="A7" s="283" t="s">
        <v>639</v>
      </c>
      <c r="B7" s="281"/>
      <c r="C7" s="281"/>
      <c r="D7" s="281"/>
      <c r="E7" s="281"/>
      <c r="F7" s="285" t="s">
        <v>640</v>
      </c>
      <c r="G7" s="281"/>
      <c r="H7" s="281"/>
      <c r="I7" s="281"/>
    </row>
    <row r="8" spans="1:9" x14ac:dyDescent="0.25">
      <c r="A8" s="285"/>
      <c r="B8" s="281"/>
      <c r="C8" s="281"/>
      <c r="D8" s="281"/>
      <c r="E8" s="281"/>
      <c r="F8" s="281"/>
      <c r="G8" s="281"/>
      <c r="H8" s="281"/>
      <c r="I8" s="281"/>
    </row>
    <row r="9" spans="1:9" x14ac:dyDescent="0.25">
      <c r="A9" s="286" t="s">
        <v>641</v>
      </c>
      <c r="B9" s="281"/>
      <c r="C9" s="281"/>
      <c r="D9" s="281"/>
      <c r="E9" s="281"/>
      <c r="F9" s="281"/>
      <c r="G9" s="281"/>
      <c r="H9" s="281"/>
      <c r="I9" s="281"/>
    </row>
    <row r="10" spans="1:9" x14ac:dyDescent="0.25">
      <c r="A10" s="281"/>
      <c r="B10" s="281"/>
      <c r="C10" s="281"/>
      <c r="D10" s="281"/>
      <c r="E10" s="281"/>
      <c r="F10" s="281"/>
      <c r="G10" s="281"/>
      <c r="H10" s="281"/>
      <c r="I10" s="281"/>
    </row>
    <row r="11" spans="1:9" x14ac:dyDescent="0.25">
      <c r="A11" s="287" t="s">
        <v>642</v>
      </c>
      <c r="B11" s="287" t="s">
        <v>643</v>
      </c>
      <c r="C11" s="1004" t="s">
        <v>644</v>
      </c>
      <c r="D11" s="1005"/>
      <c r="E11" s="1005"/>
      <c r="F11" s="1005"/>
      <c r="G11" s="1005"/>
      <c r="H11" s="1005"/>
      <c r="I11" s="1006"/>
    </row>
    <row r="12" spans="1:9" x14ac:dyDescent="0.25">
      <c r="A12" s="289"/>
      <c r="B12" s="289"/>
      <c r="C12" s="290">
        <v>1</v>
      </c>
      <c r="D12" s="290">
        <v>2</v>
      </c>
      <c r="E12" s="290">
        <v>3</v>
      </c>
      <c r="F12" s="290">
        <v>4</v>
      </c>
      <c r="G12" s="290">
        <v>5</v>
      </c>
      <c r="H12" s="290">
        <v>6</v>
      </c>
      <c r="I12" s="290">
        <v>7</v>
      </c>
    </row>
    <row r="13" spans="1:9" x14ac:dyDescent="0.25">
      <c r="A13" s="291" t="s">
        <v>645</v>
      </c>
      <c r="B13" s="292"/>
      <c r="C13" s="293"/>
      <c r="D13" s="293"/>
      <c r="E13" s="293"/>
      <c r="F13" s="293"/>
      <c r="G13" s="293"/>
      <c r="H13" s="293"/>
      <c r="I13" s="293"/>
    </row>
    <row r="14" spans="1:9" x14ac:dyDescent="0.25">
      <c r="A14" s="294" t="s">
        <v>218</v>
      </c>
      <c r="B14" s="295"/>
      <c r="C14" s="296">
        <v>6.5</v>
      </c>
      <c r="D14" s="296">
        <f t="shared" ref="D14:I14" si="0">C14+1.5</f>
        <v>8</v>
      </c>
      <c r="E14" s="296">
        <f t="shared" si="0"/>
        <v>9.5</v>
      </c>
      <c r="F14" s="296">
        <f t="shared" si="0"/>
        <v>11</v>
      </c>
      <c r="G14" s="296">
        <f t="shared" si="0"/>
        <v>12.5</v>
      </c>
      <c r="H14" s="296">
        <f t="shared" si="0"/>
        <v>14</v>
      </c>
      <c r="I14" s="296">
        <f t="shared" si="0"/>
        <v>15.5</v>
      </c>
    </row>
    <row r="15" spans="1:9" x14ac:dyDescent="0.25">
      <c r="A15" s="294" t="s">
        <v>219</v>
      </c>
      <c r="B15" s="297" t="s">
        <v>646</v>
      </c>
      <c r="C15" s="298">
        <f>C14*$F$5</f>
        <v>26081250</v>
      </c>
      <c r="D15" s="298">
        <f t="shared" ref="D15:I15" si="1">D14*$F$5</f>
        <v>32100000</v>
      </c>
      <c r="E15" s="298">
        <f t="shared" si="1"/>
        <v>38118750</v>
      </c>
      <c r="F15" s="298">
        <f t="shared" si="1"/>
        <v>44137500</v>
      </c>
      <c r="G15" s="298">
        <f t="shared" si="1"/>
        <v>50156250</v>
      </c>
      <c r="H15" s="298">
        <f t="shared" si="1"/>
        <v>56175000</v>
      </c>
      <c r="I15" s="298">
        <f t="shared" si="1"/>
        <v>62193750</v>
      </c>
    </row>
    <row r="16" spans="1:9" x14ac:dyDescent="0.25">
      <c r="A16" s="294" t="s">
        <v>220</v>
      </c>
      <c r="B16" s="297"/>
      <c r="C16" s="299">
        <f>C15/26</f>
        <v>1003125</v>
      </c>
      <c r="D16" s="299">
        <f t="shared" ref="D16:I16" si="2">D15/26</f>
        <v>1234615.3846153845</v>
      </c>
      <c r="E16" s="299">
        <f t="shared" si="2"/>
        <v>1466105.7692307692</v>
      </c>
      <c r="F16" s="299">
        <f t="shared" si="2"/>
        <v>1697596.1538461538</v>
      </c>
      <c r="G16" s="299">
        <f t="shared" si="2"/>
        <v>1929086.5384615385</v>
      </c>
      <c r="H16" s="299">
        <f t="shared" si="2"/>
        <v>2160576.923076923</v>
      </c>
      <c r="I16" s="299">
        <f t="shared" si="2"/>
        <v>2392067.3076923075</v>
      </c>
    </row>
    <row r="17" spans="1:9" x14ac:dyDescent="0.25">
      <c r="A17" s="291" t="s">
        <v>647</v>
      </c>
      <c r="B17" s="292"/>
      <c r="C17" s="293"/>
      <c r="D17" s="293"/>
      <c r="E17" s="293"/>
      <c r="F17" s="293"/>
      <c r="G17" s="293"/>
      <c r="H17" s="293"/>
      <c r="I17" s="293"/>
    </row>
    <row r="18" spans="1:9" x14ac:dyDescent="0.25">
      <c r="A18" s="294" t="s">
        <v>218</v>
      </c>
      <c r="B18" s="295"/>
      <c r="C18" s="296">
        <v>3.5</v>
      </c>
      <c r="D18" s="296">
        <f t="shared" ref="D18:I18" si="3">C18+1.5</f>
        <v>5</v>
      </c>
      <c r="E18" s="296">
        <f t="shared" si="3"/>
        <v>6.5</v>
      </c>
      <c r="F18" s="296">
        <f t="shared" si="3"/>
        <v>8</v>
      </c>
      <c r="G18" s="296">
        <f t="shared" si="3"/>
        <v>9.5</v>
      </c>
      <c r="H18" s="296">
        <f t="shared" si="3"/>
        <v>11</v>
      </c>
      <c r="I18" s="296">
        <f t="shared" si="3"/>
        <v>12.5</v>
      </c>
    </row>
    <row r="19" spans="1:9" x14ac:dyDescent="0.25">
      <c r="A19" s="294" t="s">
        <v>219</v>
      </c>
      <c r="B19" s="297" t="s">
        <v>648</v>
      </c>
      <c r="C19" s="298">
        <f>C18*$F$5</f>
        <v>14043750</v>
      </c>
      <c r="D19" s="298">
        <f t="shared" ref="D19:I19" si="4">D18*$F$5</f>
        <v>20062500</v>
      </c>
      <c r="E19" s="298">
        <f t="shared" si="4"/>
        <v>26081250</v>
      </c>
      <c r="F19" s="298">
        <f t="shared" si="4"/>
        <v>32100000</v>
      </c>
      <c r="G19" s="298">
        <f t="shared" si="4"/>
        <v>38118750</v>
      </c>
      <c r="H19" s="298">
        <f t="shared" si="4"/>
        <v>44137500</v>
      </c>
      <c r="I19" s="298">
        <f t="shared" si="4"/>
        <v>50156250</v>
      </c>
    </row>
    <row r="20" spans="1:9" x14ac:dyDescent="0.25">
      <c r="A20" s="294" t="s">
        <v>220</v>
      </c>
      <c r="B20" s="297"/>
      <c r="C20" s="299">
        <f>C19/26</f>
        <v>540144.23076923075</v>
      </c>
      <c r="D20" s="299">
        <f t="shared" ref="D20:I20" si="5">D19/26</f>
        <v>771634.61538461538</v>
      </c>
      <c r="E20" s="299">
        <f t="shared" si="5"/>
        <v>1003125</v>
      </c>
      <c r="F20" s="299">
        <f t="shared" si="5"/>
        <v>1234615.3846153845</v>
      </c>
      <c r="G20" s="299">
        <f t="shared" si="5"/>
        <v>1466105.7692307692</v>
      </c>
      <c r="H20" s="299">
        <f t="shared" si="5"/>
        <v>1697596.1538461538</v>
      </c>
      <c r="I20" s="299">
        <f t="shared" si="5"/>
        <v>1929086.5384615385</v>
      </c>
    </row>
    <row r="21" spans="1:9" x14ac:dyDescent="0.25">
      <c r="A21" s="291" t="s">
        <v>649</v>
      </c>
      <c r="B21" s="292"/>
      <c r="C21" s="300"/>
      <c r="D21" s="300"/>
      <c r="E21" s="300"/>
      <c r="F21" s="300"/>
      <c r="G21" s="300"/>
      <c r="H21" s="300"/>
      <c r="I21" s="300"/>
    </row>
    <row r="22" spans="1:9" x14ac:dyDescent="0.25">
      <c r="A22" s="294" t="s">
        <v>218</v>
      </c>
      <c r="B22" s="295"/>
      <c r="C22" s="296">
        <v>2.5</v>
      </c>
      <c r="D22" s="296">
        <f t="shared" ref="D22:I22" si="6">C22+1</f>
        <v>3.5</v>
      </c>
      <c r="E22" s="296">
        <f t="shared" si="6"/>
        <v>4.5</v>
      </c>
      <c r="F22" s="296">
        <f t="shared" si="6"/>
        <v>5.5</v>
      </c>
      <c r="G22" s="296">
        <f t="shared" si="6"/>
        <v>6.5</v>
      </c>
      <c r="H22" s="296">
        <f t="shared" si="6"/>
        <v>7.5</v>
      </c>
      <c r="I22" s="296">
        <f t="shared" si="6"/>
        <v>8.5</v>
      </c>
    </row>
    <row r="23" spans="1:9" x14ac:dyDescent="0.25">
      <c r="A23" s="294" t="s">
        <v>219</v>
      </c>
      <c r="B23" s="297" t="s">
        <v>650</v>
      </c>
      <c r="C23" s="298">
        <f>C22*$F$5</f>
        <v>10031250</v>
      </c>
      <c r="D23" s="298">
        <f t="shared" ref="D23:I23" si="7">D22*$F$5</f>
        <v>14043750</v>
      </c>
      <c r="E23" s="298">
        <f t="shared" si="7"/>
        <v>18056250</v>
      </c>
      <c r="F23" s="298">
        <f t="shared" si="7"/>
        <v>22068750</v>
      </c>
      <c r="G23" s="298">
        <f t="shared" si="7"/>
        <v>26081250</v>
      </c>
      <c r="H23" s="298">
        <f t="shared" si="7"/>
        <v>30093750</v>
      </c>
      <c r="I23" s="298">
        <f t="shared" si="7"/>
        <v>34106250</v>
      </c>
    </row>
    <row r="24" spans="1:9" x14ac:dyDescent="0.25">
      <c r="A24" s="294" t="s">
        <v>220</v>
      </c>
      <c r="B24" s="297"/>
      <c r="C24" s="299">
        <f>C23/26</f>
        <v>385817.30769230769</v>
      </c>
      <c r="D24" s="299">
        <f t="shared" ref="D24:I24" si="8">D23/26</f>
        <v>540144.23076923075</v>
      </c>
      <c r="E24" s="299">
        <f t="shared" si="8"/>
        <v>694471.15384615387</v>
      </c>
      <c r="F24" s="299">
        <f t="shared" si="8"/>
        <v>848798.07692307688</v>
      </c>
      <c r="G24" s="299">
        <f t="shared" si="8"/>
        <v>1003125</v>
      </c>
      <c r="H24" s="299">
        <f t="shared" si="8"/>
        <v>1157451.923076923</v>
      </c>
      <c r="I24" s="299">
        <f t="shared" si="8"/>
        <v>1311778.8461538462</v>
      </c>
    </row>
    <row r="25" spans="1:9" x14ac:dyDescent="0.25">
      <c r="A25" s="281"/>
      <c r="B25" s="281"/>
      <c r="C25" s="281"/>
      <c r="D25" s="281"/>
      <c r="E25" s="281"/>
      <c r="F25" s="281"/>
      <c r="G25" s="281"/>
      <c r="H25" s="281"/>
      <c r="I25" s="281"/>
    </row>
    <row r="26" spans="1:9" x14ac:dyDescent="0.25">
      <c r="A26" s="286" t="s">
        <v>651</v>
      </c>
      <c r="B26" s="281"/>
      <c r="C26" s="281"/>
      <c r="D26" s="281"/>
      <c r="E26" s="281"/>
      <c r="F26" s="281"/>
      <c r="G26" s="281"/>
      <c r="H26" s="281"/>
      <c r="I26" s="281"/>
    </row>
    <row r="27" spans="1:9" x14ac:dyDescent="0.25">
      <c r="A27" s="285"/>
      <c r="B27" s="281"/>
      <c r="C27" s="281"/>
      <c r="D27" s="281"/>
      <c r="E27" s="281"/>
      <c r="F27" s="281"/>
      <c r="G27" s="281"/>
      <c r="H27" s="281"/>
      <c r="I27" s="281"/>
    </row>
    <row r="28" spans="1:9" x14ac:dyDescent="0.25">
      <c r="A28" s="287" t="s">
        <v>642</v>
      </c>
      <c r="B28" s="287" t="s">
        <v>643</v>
      </c>
      <c r="C28" s="1004" t="s">
        <v>644</v>
      </c>
      <c r="D28" s="1005"/>
      <c r="E28" s="1005"/>
      <c r="F28" s="1005"/>
      <c r="G28" s="1005"/>
      <c r="H28" s="1005"/>
      <c r="I28" s="1006"/>
    </row>
    <row r="29" spans="1:9" x14ac:dyDescent="0.25">
      <c r="A29" s="289"/>
      <c r="B29" s="289"/>
      <c r="C29" s="288">
        <v>1</v>
      </c>
      <c r="D29" s="288">
        <v>2</v>
      </c>
      <c r="E29" s="288">
        <v>3</v>
      </c>
      <c r="F29" s="288">
        <v>4</v>
      </c>
      <c r="G29" s="288">
        <v>5</v>
      </c>
      <c r="H29" s="288">
        <v>6</v>
      </c>
      <c r="I29" s="288">
        <v>7</v>
      </c>
    </row>
    <row r="30" spans="1:9" x14ac:dyDescent="0.25">
      <c r="A30" s="291" t="s">
        <v>652</v>
      </c>
      <c r="B30" s="292"/>
      <c r="C30" s="293"/>
      <c r="D30" s="293"/>
      <c r="E30" s="293"/>
      <c r="F30" s="293"/>
      <c r="G30" s="293"/>
      <c r="H30" s="293"/>
      <c r="I30" s="293"/>
    </row>
    <row r="31" spans="1:9" x14ac:dyDescent="0.25">
      <c r="A31" s="294" t="s">
        <v>218</v>
      </c>
      <c r="B31" s="295"/>
      <c r="C31" s="296">
        <v>2.5</v>
      </c>
      <c r="D31" s="296">
        <f t="shared" ref="D31:I31" si="9">C31+0.8</f>
        <v>3.3</v>
      </c>
      <c r="E31" s="296">
        <f t="shared" si="9"/>
        <v>4.0999999999999996</v>
      </c>
      <c r="F31" s="296">
        <f t="shared" si="9"/>
        <v>4.8999999999999995</v>
      </c>
      <c r="G31" s="296">
        <f t="shared" si="9"/>
        <v>5.6999999999999993</v>
      </c>
      <c r="H31" s="296">
        <f t="shared" si="9"/>
        <v>6.4999999999999991</v>
      </c>
      <c r="I31" s="296">
        <f t="shared" si="9"/>
        <v>7.2999999999999989</v>
      </c>
    </row>
    <row r="32" spans="1:9" x14ac:dyDescent="0.25">
      <c r="A32" s="294" t="s">
        <v>219</v>
      </c>
      <c r="B32" s="297" t="s">
        <v>208</v>
      </c>
      <c r="C32" s="298">
        <f>C31*$F$5</f>
        <v>10031250</v>
      </c>
      <c r="D32" s="298">
        <f t="shared" ref="D32:I32" si="10">D31*$F$5</f>
        <v>13241250</v>
      </c>
      <c r="E32" s="298">
        <f t="shared" si="10"/>
        <v>16451249.999999998</v>
      </c>
      <c r="F32" s="298">
        <f t="shared" si="10"/>
        <v>19661249.999999996</v>
      </c>
      <c r="G32" s="298">
        <f t="shared" si="10"/>
        <v>22871249.999999996</v>
      </c>
      <c r="H32" s="298">
        <f t="shared" si="10"/>
        <v>26081249.999999996</v>
      </c>
      <c r="I32" s="298">
        <f t="shared" si="10"/>
        <v>29291249.999999996</v>
      </c>
    </row>
    <row r="33" spans="1:9" x14ac:dyDescent="0.25">
      <c r="A33" s="294" t="s">
        <v>220</v>
      </c>
      <c r="B33" s="297"/>
      <c r="C33" s="299">
        <f>C32/26</f>
        <v>385817.30769230769</v>
      </c>
      <c r="D33" s="299">
        <f t="shared" ref="D33:I33" si="11">D32/26</f>
        <v>509278.84615384613</v>
      </c>
      <c r="E33" s="299">
        <f t="shared" si="11"/>
        <v>632740.38461538451</v>
      </c>
      <c r="F33" s="299">
        <f t="shared" si="11"/>
        <v>756201.92307692289</v>
      </c>
      <c r="G33" s="299">
        <f t="shared" si="11"/>
        <v>879663.46153846139</v>
      </c>
      <c r="H33" s="299">
        <f t="shared" si="11"/>
        <v>1003124.9999999999</v>
      </c>
      <c r="I33" s="299">
        <f t="shared" si="11"/>
        <v>1126586.5384615383</v>
      </c>
    </row>
    <row r="34" spans="1:9" x14ac:dyDescent="0.25">
      <c r="A34" s="291" t="s">
        <v>653</v>
      </c>
      <c r="B34" s="292"/>
      <c r="C34" s="293"/>
      <c r="D34" s="293"/>
      <c r="E34" s="293"/>
      <c r="F34" s="293"/>
      <c r="G34" s="293"/>
      <c r="H34" s="293"/>
      <c r="I34" s="293"/>
    </row>
    <row r="35" spans="1:9" x14ac:dyDescent="0.25">
      <c r="A35" s="294" t="s">
        <v>218</v>
      </c>
      <c r="B35" s="295"/>
      <c r="C35" s="296">
        <v>1.6</v>
      </c>
      <c r="D35" s="296">
        <f t="shared" ref="D35:I35" si="12">C35+0.2</f>
        <v>1.8</v>
      </c>
      <c r="E35" s="296">
        <f t="shared" si="12"/>
        <v>2</v>
      </c>
      <c r="F35" s="296">
        <f t="shared" si="12"/>
        <v>2.2000000000000002</v>
      </c>
      <c r="G35" s="296">
        <f t="shared" si="12"/>
        <v>2.4000000000000004</v>
      </c>
      <c r="H35" s="296">
        <f t="shared" si="12"/>
        <v>2.6000000000000005</v>
      </c>
      <c r="I35" s="296">
        <f t="shared" si="12"/>
        <v>2.8000000000000007</v>
      </c>
    </row>
    <row r="36" spans="1:9" x14ac:dyDescent="0.25">
      <c r="A36" s="294" t="s">
        <v>219</v>
      </c>
      <c r="B36" s="297" t="s">
        <v>209</v>
      </c>
      <c r="C36" s="298">
        <f>C35*$F$5</f>
        <v>6420000</v>
      </c>
      <c r="D36" s="298">
        <f t="shared" ref="D36:I36" si="13">D35*$F$5</f>
        <v>7222500</v>
      </c>
      <c r="E36" s="298">
        <f t="shared" si="13"/>
        <v>8025000</v>
      </c>
      <c r="F36" s="298">
        <f t="shared" si="13"/>
        <v>8827500</v>
      </c>
      <c r="G36" s="298">
        <f t="shared" si="13"/>
        <v>9630000.0000000019</v>
      </c>
      <c r="H36" s="298">
        <f t="shared" si="13"/>
        <v>10432500.000000002</v>
      </c>
      <c r="I36" s="298">
        <f t="shared" si="13"/>
        <v>11235000.000000004</v>
      </c>
    </row>
    <row r="37" spans="1:9" x14ac:dyDescent="0.25">
      <c r="A37" s="294" t="s">
        <v>220</v>
      </c>
      <c r="B37" s="297"/>
      <c r="C37" s="299">
        <f>C36/26</f>
        <v>246923.07692307694</v>
      </c>
      <c r="D37" s="299">
        <f t="shared" ref="D37:I37" si="14">D36/26</f>
        <v>277788.46153846156</v>
      </c>
      <c r="E37" s="299">
        <f t="shared" si="14"/>
        <v>308653.84615384613</v>
      </c>
      <c r="F37" s="299">
        <f t="shared" si="14"/>
        <v>339519.23076923075</v>
      </c>
      <c r="G37" s="299">
        <f t="shared" si="14"/>
        <v>370384.61538461543</v>
      </c>
      <c r="H37" s="299">
        <f t="shared" si="14"/>
        <v>401250.00000000006</v>
      </c>
      <c r="I37" s="299">
        <f t="shared" si="14"/>
        <v>432115.38461538474</v>
      </c>
    </row>
    <row r="38" spans="1:9" x14ac:dyDescent="0.25">
      <c r="A38" s="301" t="s">
        <v>654</v>
      </c>
      <c r="B38" s="292"/>
      <c r="C38" s="300"/>
      <c r="D38" s="300"/>
      <c r="E38" s="300"/>
      <c r="F38" s="300"/>
      <c r="G38" s="300"/>
      <c r="H38" s="300"/>
      <c r="I38" s="300"/>
    </row>
    <row r="39" spans="1:9" x14ac:dyDescent="0.25">
      <c r="A39" s="294" t="s">
        <v>218</v>
      </c>
      <c r="B39" s="295"/>
      <c r="C39" s="296">
        <v>1.3</v>
      </c>
      <c r="D39" s="296">
        <f t="shared" ref="D39:I39" si="15">C39+0.1</f>
        <v>1.4000000000000001</v>
      </c>
      <c r="E39" s="296">
        <f t="shared" si="15"/>
        <v>1.5000000000000002</v>
      </c>
      <c r="F39" s="296">
        <f t="shared" si="15"/>
        <v>1.6000000000000003</v>
      </c>
      <c r="G39" s="296">
        <f t="shared" si="15"/>
        <v>1.7000000000000004</v>
      </c>
      <c r="H39" s="296">
        <f t="shared" si="15"/>
        <v>1.8000000000000005</v>
      </c>
      <c r="I39" s="296">
        <f t="shared" si="15"/>
        <v>1.9000000000000006</v>
      </c>
    </row>
    <row r="40" spans="1:9" x14ac:dyDescent="0.25">
      <c r="A40" s="294" t="s">
        <v>219</v>
      </c>
      <c r="B40" s="297" t="s">
        <v>210</v>
      </c>
      <c r="C40" s="298">
        <f>C39*$F$5</f>
        <v>5216250</v>
      </c>
      <c r="D40" s="298">
        <f t="shared" ref="D40:I40" si="16">D39*$F$5</f>
        <v>5617500.0000000009</v>
      </c>
      <c r="E40" s="298">
        <f t="shared" si="16"/>
        <v>6018750.0000000009</v>
      </c>
      <c r="F40" s="298">
        <f t="shared" si="16"/>
        <v>6420000.0000000009</v>
      </c>
      <c r="G40" s="298">
        <f t="shared" si="16"/>
        <v>6821250.0000000019</v>
      </c>
      <c r="H40" s="298">
        <f t="shared" si="16"/>
        <v>7222500.0000000019</v>
      </c>
      <c r="I40" s="298">
        <f t="shared" si="16"/>
        <v>7623750.0000000019</v>
      </c>
    </row>
    <row r="41" spans="1:9" x14ac:dyDescent="0.25">
      <c r="A41" s="294" t="s">
        <v>220</v>
      </c>
      <c r="B41" s="297"/>
      <c r="C41" s="299">
        <f>C40/26</f>
        <v>200625</v>
      </c>
      <c r="D41" s="299">
        <f t="shared" ref="D41:I41" si="17">D40/26</f>
        <v>216057.69230769234</v>
      </c>
      <c r="E41" s="299">
        <f t="shared" si="17"/>
        <v>231490.38461538465</v>
      </c>
      <c r="F41" s="299">
        <f t="shared" si="17"/>
        <v>246923.07692307697</v>
      </c>
      <c r="G41" s="299">
        <f t="shared" si="17"/>
        <v>262355.76923076931</v>
      </c>
      <c r="H41" s="299">
        <f t="shared" si="17"/>
        <v>277788.46153846162</v>
      </c>
      <c r="I41" s="299">
        <f t="shared" si="17"/>
        <v>293221.15384615393</v>
      </c>
    </row>
    <row r="42" spans="1:9" x14ac:dyDescent="0.25">
      <c r="A42" s="302" t="s">
        <v>655</v>
      </c>
      <c r="B42" s="292"/>
      <c r="C42" s="300"/>
      <c r="D42" s="300"/>
      <c r="E42" s="300"/>
      <c r="F42" s="300"/>
      <c r="G42" s="300"/>
      <c r="H42" s="300"/>
      <c r="I42" s="300"/>
    </row>
    <row r="43" spans="1:9" x14ac:dyDescent="0.25">
      <c r="A43" s="294" t="s">
        <v>218</v>
      </c>
      <c r="B43" s="295"/>
      <c r="C43" s="296">
        <v>1.2</v>
      </c>
      <c r="D43" s="296">
        <f t="shared" ref="D43:I43" si="18">C43+0.2</f>
        <v>1.4</v>
      </c>
      <c r="E43" s="296">
        <f t="shared" si="18"/>
        <v>1.5999999999999999</v>
      </c>
      <c r="F43" s="296">
        <f t="shared" si="18"/>
        <v>1.7999999999999998</v>
      </c>
      <c r="G43" s="296">
        <f t="shared" si="18"/>
        <v>1.9999999999999998</v>
      </c>
      <c r="H43" s="296">
        <f t="shared" si="18"/>
        <v>2.1999999999999997</v>
      </c>
      <c r="I43" s="296">
        <f t="shared" si="18"/>
        <v>2.4</v>
      </c>
    </row>
    <row r="44" spans="1:9" x14ac:dyDescent="0.25">
      <c r="A44" s="294" t="s">
        <v>219</v>
      </c>
      <c r="B44" s="297" t="s">
        <v>211</v>
      </c>
      <c r="C44" s="298">
        <f>C43*$F$5</f>
        <v>4815000</v>
      </c>
      <c r="D44" s="298">
        <f t="shared" ref="D44:I44" si="19">D43*$F$5</f>
        <v>5617500</v>
      </c>
      <c r="E44" s="298">
        <f t="shared" si="19"/>
        <v>6419999.9999999991</v>
      </c>
      <c r="F44" s="298">
        <f t="shared" si="19"/>
        <v>7222499.9999999991</v>
      </c>
      <c r="G44" s="298">
        <f t="shared" si="19"/>
        <v>8024999.9999999991</v>
      </c>
      <c r="H44" s="298">
        <f t="shared" si="19"/>
        <v>8827499.9999999981</v>
      </c>
      <c r="I44" s="298">
        <f t="shared" si="19"/>
        <v>9630000</v>
      </c>
    </row>
    <row r="45" spans="1:9" x14ac:dyDescent="0.25">
      <c r="A45" s="294" t="s">
        <v>220</v>
      </c>
      <c r="B45" s="297"/>
      <c r="C45" s="299">
        <f>C44/26</f>
        <v>185192.30769230769</v>
      </c>
      <c r="D45" s="299">
        <f t="shared" ref="D45:I45" si="20">D44/26</f>
        <v>216057.69230769231</v>
      </c>
      <c r="E45" s="299">
        <f t="shared" si="20"/>
        <v>246923.07692307688</v>
      </c>
      <c r="F45" s="299">
        <f t="shared" si="20"/>
        <v>277788.4615384615</v>
      </c>
      <c r="G45" s="299">
        <f t="shared" si="20"/>
        <v>308653.84615384613</v>
      </c>
      <c r="H45" s="299">
        <f t="shared" si="20"/>
        <v>339519.23076923069</v>
      </c>
      <c r="I45" s="299">
        <f t="shared" si="20"/>
        <v>370384.61538461538</v>
      </c>
    </row>
    <row r="46" spans="1:9" x14ac:dyDescent="0.25">
      <c r="A46" s="291" t="s">
        <v>656</v>
      </c>
      <c r="B46" s="292"/>
      <c r="C46" s="300"/>
      <c r="D46" s="300"/>
      <c r="E46" s="300"/>
      <c r="F46" s="300"/>
      <c r="G46" s="300"/>
      <c r="H46" s="300"/>
      <c r="I46" s="300"/>
    </row>
    <row r="47" spans="1:9" x14ac:dyDescent="0.25">
      <c r="A47" s="294" t="s">
        <v>218</v>
      </c>
      <c r="B47" s="295"/>
      <c r="C47" s="296">
        <v>1</v>
      </c>
      <c r="D47" s="296">
        <f t="shared" ref="D47:I47" si="21">C47+0.1</f>
        <v>1.1000000000000001</v>
      </c>
      <c r="E47" s="296">
        <f t="shared" si="21"/>
        <v>1.2000000000000002</v>
      </c>
      <c r="F47" s="296">
        <f t="shared" si="21"/>
        <v>1.3000000000000003</v>
      </c>
      <c r="G47" s="296">
        <f t="shared" si="21"/>
        <v>1.4000000000000004</v>
      </c>
      <c r="H47" s="296">
        <f t="shared" si="21"/>
        <v>1.5000000000000004</v>
      </c>
      <c r="I47" s="296">
        <f t="shared" si="21"/>
        <v>1.6000000000000005</v>
      </c>
    </row>
    <row r="48" spans="1:9" x14ac:dyDescent="0.25">
      <c r="A48" s="294" t="s">
        <v>219</v>
      </c>
      <c r="B48" s="297" t="s">
        <v>212</v>
      </c>
      <c r="C48" s="298">
        <f>C47*$F$5</f>
        <v>4012500</v>
      </c>
      <c r="D48" s="298">
        <f t="shared" ref="D48:I48" si="22">D47*$F$5</f>
        <v>4413750</v>
      </c>
      <c r="E48" s="298">
        <f t="shared" si="22"/>
        <v>4815000.0000000009</v>
      </c>
      <c r="F48" s="298">
        <f t="shared" si="22"/>
        <v>5216250.0000000009</v>
      </c>
      <c r="G48" s="298">
        <f t="shared" si="22"/>
        <v>5617500.0000000019</v>
      </c>
      <c r="H48" s="298">
        <f t="shared" si="22"/>
        <v>6018750.0000000019</v>
      </c>
      <c r="I48" s="298">
        <f t="shared" si="22"/>
        <v>6420000.0000000019</v>
      </c>
    </row>
    <row r="49" spans="1:9" x14ac:dyDescent="0.25">
      <c r="A49" s="294" t="s">
        <v>220</v>
      </c>
      <c r="B49" s="297"/>
      <c r="C49" s="299">
        <f>C48/26</f>
        <v>154326.92307692306</v>
      </c>
      <c r="D49" s="299">
        <f t="shared" ref="D49:I49" si="23">D48/26</f>
        <v>169759.61538461538</v>
      </c>
      <c r="E49" s="299">
        <f t="shared" si="23"/>
        <v>185192.30769230772</v>
      </c>
      <c r="F49" s="299">
        <f t="shared" si="23"/>
        <v>200625.00000000003</v>
      </c>
      <c r="G49" s="299">
        <f t="shared" si="23"/>
        <v>216057.69230769237</v>
      </c>
      <c r="H49" s="299">
        <f t="shared" si="23"/>
        <v>231490.38461538468</v>
      </c>
      <c r="I49" s="299">
        <f t="shared" si="23"/>
        <v>246923.07692307699</v>
      </c>
    </row>
    <row r="50" spans="1:9" x14ac:dyDescent="0.25">
      <c r="A50" s="281"/>
      <c r="B50" s="281"/>
      <c r="C50" s="281"/>
      <c r="D50" s="281"/>
      <c r="E50" s="281"/>
      <c r="F50" s="281"/>
      <c r="G50" s="281"/>
      <c r="H50" s="281"/>
      <c r="I50" s="281"/>
    </row>
    <row r="51" spans="1:9" x14ac:dyDescent="0.25">
      <c r="A51" s="286" t="s">
        <v>657</v>
      </c>
      <c r="B51" s="281"/>
      <c r="C51" s="281"/>
      <c r="D51" s="281"/>
      <c r="E51" s="281"/>
      <c r="F51" s="303"/>
      <c r="G51" s="281"/>
      <c r="H51" s="281"/>
      <c r="I51" s="281"/>
    </row>
    <row r="52" spans="1:9" x14ac:dyDescent="0.25">
      <c r="A52" s="281"/>
      <c r="B52" s="281"/>
      <c r="C52" s="281"/>
      <c r="D52" s="281"/>
      <c r="E52" s="281"/>
      <c r="F52" s="281"/>
      <c r="G52" s="281"/>
      <c r="H52" s="281"/>
      <c r="I52" s="281"/>
    </row>
    <row r="53" spans="1:9" x14ac:dyDescent="0.25">
      <c r="A53" s="287" t="s">
        <v>642</v>
      </c>
      <c r="B53" s="287" t="s">
        <v>643</v>
      </c>
      <c r="C53" s="1004" t="s">
        <v>644</v>
      </c>
      <c r="D53" s="1005"/>
      <c r="E53" s="1005"/>
      <c r="F53" s="1005"/>
      <c r="G53" s="1005"/>
      <c r="H53" s="1005"/>
      <c r="I53" s="1006"/>
    </row>
    <row r="54" spans="1:9" x14ac:dyDescent="0.25">
      <c r="A54" s="289"/>
      <c r="B54" s="289"/>
      <c r="C54" s="288">
        <v>1</v>
      </c>
      <c r="D54" s="288">
        <v>2</v>
      </c>
      <c r="E54" s="288">
        <v>3</v>
      </c>
      <c r="F54" s="288">
        <v>4</v>
      </c>
      <c r="G54" s="288">
        <v>5</v>
      </c>
      <c r="H54" s="288">
        <v>6</v>
      </c>
      <c r="I54" s="288">
        <v>7</v>
      </c>
    </row>
    <row r="55" spans="1:9" x14ac:dyDescent="0.25">
      <c r="A55" s="291" t="s">
        <v>658</v>
      </c>
      <c r="B55" s="292"/>
      <c r="C55" s="293"/>
      <c r="D55" s="293"/>
      <c r="E55" s="293"/>
      <c r="F55" s="293"/>
      <c r="G55" s="293"/>
      <c r="H55" s="293"/>
      <c r="I55" s="293"/>
    </row>
    <row r="56" spans="1:9" x14ac:dyDescent="0.25">
      <c r="A56" s="294" t="s">
        <v>218</v>
      </c>
      <c r="B56" s="295"/>
      <c r="C56" s="296">
        <v>1.17</v>
      </c>
      <c r="D56" s="296">
        <f t="shared" ref="D56:I56" si="24">C56+0.05</f>
        <v>1.22</v>
      </c>
      <c r="E56" s="296">
        <f t="shared" si="24"/>
        <v>1.27</v>
      </c>
      <c r="F56" s="296">
        <f t="shared" si="24"/>
        <v>1.32</v>
      </c>
      <c r="G56" s="296">
        <f t="shared" si="24"/>
        <v>1.37</v>
      </c>
      <c r="H56" s="296">
        <f t="shared" si="24"/>
        <v>1.4200000000000002</v>
      </c>
      <c r="I56" s="296">
        <f t="shared" si="24"/>
        <v>1.4700000000000002</v>
      </c>
    </row>
    <row r="57" spans="1:9" x14ac:dyDescent="0.25">
      <c r="A57" s="294" t="s">
        <v>219</v>
      </c>
      <c r="B57" s="297" t="s">
        <v>659</v>
      </c>
      <c r="C57" s="298">
        <f>C56*$F$5</f>
        <v>4694625</v>
      </c>
      <c r="D57" s="298">
        <f t="shared" ref="D57:I57" si="25">D56*$F$5</f>
        <v>4895250</v>
      </c>
      <c r="E57" s="298">
        <f t="shared" si="25"/>
        <v>5095875</v>
      </c>
      <c r="F57" s="298">
        <f t="shared" si="25"/>
        <v>5296500</v>
      </c>
      <c r="G57" s="298">
        <f t="shared" si="25"/>
        <v>5497125</v>
      </c>
      <c r="H57" s="298">
        <f t="shared" si="25"/>
        <v>5697750.0000000009</v>
      </c>
      <c r="I57" s="298">
        <f t="shared" si="25"/>
        <v>5898375.0000000009</v>
      </c>
    </row>
    <row r="58" spans="1:9" x14ac:dyDescent="0.25">
      <c r="A58" s="294" t="s">
        <v>220</v>
      </c>
      <c r="B58" s="297"/>
      <c r="C58" s="299">
        <f>C57/26</f>
        <v>180562.5</v>
      </c>
      <c r="D58" s="299">
        <f t="shared" ref="D58:I58" si="26">D57/26</f>
        <v>188278.84615384616</v>
      </c>
      <c r="E58" s="299">
        <f t="shared" si="26"/>
        <v>195995.19230769231</v>
      </c>
      <c r="F58" s="299">
        <f t="shared" si="26"/>
        <v>203711.53846153847</v>
      </c>
      <c r="G58" s="299">
        <f t="shared" si="26"/>
        <v>211427.88461538462</v>
      </c>
      <c r="H58" s="299">
        <f t="shared" si="26"/>
        <v>219144.23076923081</v>
      </c>
      <c r="I58" s="299">
        <f t="shared" si="26"/>
        <v>226860.57692307697</v>
      </c>
    </row>
    <row r="59" spans="1:9" x14ac:dyDescent="0.25">
      <c r="A59" s="302" t="s">
        <v>660</v>
      </c>
      <c r="B59" s="292"/>
      <c r="C59" s="300"/>
      <c r="D59" s="300"/>
      <c r="E59" s="300"/>
      <c r="F59" s="300"/>
      <c r="G59" s="300"/>
      <c r="H59" s="300"/>
      <c r="I59" s="300"/>
    </row>
    <row r="60" spans="1:9" x14ac:dyDescent="0.25">
      <c r="A60" s="294" t="s">
        <v>218</v>
      </c>
      <c r="B60" s="295"/>
      <c r="C60" s="296">
        <v>1.1000000000000001</v>
      </c>
      <c r="D60" s="296">
        <f t="shared" ref="D60:I60" si="27">C60+0.07</f>
        <v>1.1700000000000002</v>
      </c>
      <c r="E60" s="296">
        <f t="shared" si="27"/>
        <v>1.2400000000000002</v>
      </c>
      <c r="F60" s="296">
        <f t="shared" si="27"/>
        <v>1.3100000000000003</v>
      </c>
      <c r="G60" s="296">
        <f t="shared" si="27"/>
        <v>1.3800000000000003</v>
      </c>
      <c r="H60" s="296">
        <f t="shared" si="27"/>
        <v>1.4500000000000004</v>
      </c>
      <c r="I60" s="296">
        <f t="shared" si="27"/>
        <v>1.5200000000000005</v>
      </c>
    </row>
    <row r="61" spans="1:9" x14ac:dyDescent="0.25">
      <c r="A61" s="294" t="s">
        <v>219</v>
      </c>
      <c r="B61" s="297" t="s">
        <v>661</v>
      </c>
      <c r="C61" s="298">
        <f>C60*$F$5</f>
        <v>4413750</v>
      </c>
      <c r="D61" s="298">
        <f t="shared" ref="D61:I61" si="28">D60*$F$5</f>
        <v>4694625.0000000009</v>
      </c>
      <c r="E61" s="298">
        <f t="shared" si="28"/>
        <v>4975500.0000000009</v>
      </c>
      <c r="F61" s="298">
        <f t="shared" si="28"/>
        <v>5256375.0000000009</v>
      </c>
      <c r="G61" s="298">
        <f t="shared" si="28"/>
        <v>5537250.0000000009</v>
      </c>
      <c r="H61" s="298">
        <f t="shared" si="28"/>
        <v>5818125.0000000019</v>
      </c>
      <c r="I61" s="298">
        <f t="shared" si="28"/>
        <v>6099000.0000000019</v>
      </c>
    </row>
    <row r="62" spans="1:9" x14ac:dyDescent="0.25">
      <c r="A62" s="294" t="s">
        <v>220</v>
      </c>
      <c r="B62" s="297"/>
      <c r="C62" s="299">
        <f>C61/26</f>
        <v>169759.61538461538</v>
      </c>
      <c r="D62" s="299">
        <f t="shared" ref="D62:I62" si="29">D61/26</f>
        <v>180562.50000000003</v>
      </c>
      <c r="E62" s="299">
        <f t="shared" si="29"/>
        <v>191365.38461538465</v>
      </c>
      <c r="F62" s="299">
        <f t="shared" si="29"/>
        <v>202168.26923076928</v>
      </c>
      <c r="G62" s="299">
        <f t="shared" si="29"/>
        <v>212971.15384615387</v>
      </c>
      <c r="H62" s="299">
        <f t="shared" si="29"/>
        <v>223774.03846153853</v>
      </c>
      <c r="I62" s="299">
        <f t="shared" si="29"/>
        <v>234576.92307692315</v>
      </c>
    </row>
    <row r="63" spans="1:9" x14ac:dyDescent="0.25">
      <c r="A63" s="302" t="s">
        <v>662</v>
      </c>
      <c r="B63" s="292"/>
      <c r="C63" s="300"/>
      <c r="D63" s="300"/>
      <c r="E63" s="300"/>
      <c r="F63" s="300"/>
      <c r="G63" s="300"/>
      <c r="H63" s="300"/>
      <c r="I63" s="300"/>
    </row>
    <row r="64" spans="1:9" x14ac:dyDescent="0.25">
      <c r="A64" s="294" t="s">
        <v>218</v>
      </c>
      <c r="B64" s="295"/>
      <c r="C64" s="296">
        <v>1.2</v>
      </c>
      <c r="D64" s="296">
        <f t="shared" ref="D64:I64" si="30">C64+0.1</f>
        <v>1.3</v>
      </c>
      <c r="E64" s="296">
        <f t="shared" si="30"/>
        <v>1.4000000000000001</v>
      </c>
      <c r="F64" s="296">
        <f t="shared" si="30"/>
        <v>1.5000000000000002</v>
      </c>
      <c r="G64" s="296">
        <f t="shared" si="30"/>
        <v>1.6000000000000003</v>
      </c>
      <c r="H64" s="296">
        <f t="shared" si="30"/>
        <v>1.7000000000000004</v>
      </c>
      <c r="I64" s="296">
        <f t="shared" si="30"/>
        <v>1.8000000000000005</v>
      </c>
    </row>
    <row r="65" spans="1:9" x14ac:dyDescent="0.25">
      <c r="A65" s="294" t="s">
        <v>219</v>
      </c>
      <c r="B65" s="297" t="s">
        <v>663</v>
      </c>
      <c r="C65" s="298">
        <f>C64*$F$5</f>
        <v>4815000</v>
      </c>
      <c r="D65" s="298">
        <f t="shared" ref="D65:I65" si="31">D64*$F$5</f>
        <v>5216250</v>
      </c>
      <c r="E65" s="298">
        <f t="shared" si="31"/>
        <v>5617500.0000000009</v>
      </c>
      <c r="F65" s="298">
        <f t="shared" si="31"/>
        <v>6018750.0000000009</v>
      </c>
      <c r="G65" s="298">
        <f t="shared" si="31"/>
        <v>6420000.0000000009</v>
      </c>
      <c r="H65" s="298">
        <f t="shared" si="31"/>
        <v>6821250.0000000019</v>
      </c>
      <c r="I65" s="298">
        <f t="shared" si="31"/>
        <v>7222500.0000000019</v>
      </c>
    </row>
    <row r="66" spans="1:9" x14ac:dyDescent="0.25">
      <c r="A66" s="294" t="s">
        <v>220</v>
      </c>
      <c r="B66" s="297"/>
      <c r="C66" s="299">
        <f>C65/26</f>
        <v>185192.30769230769</v>
      </c>
      <c r="D66" s="299">
        <f t="shared" ref="D66:I66" si="32">D65/26</f>
        <v>200625</v>
      </c>
      <c r="E66" s="299">
        <f t="shared" si="32"/>
        <v>216057.69230769234</v>
      </c>
      <c r="F66" s="299">
        <f t="shared" si="32"/>
        <v>231490.38461538465</v>
      </c>
      <c r="G66" s="299">
        <f t="shared" si="32"/>
        <v>246923.07692307697</v>
      </c>
      <c r="H66" s="299">
        <f t="shared" si="32"/>
        <v>262355.76923076931</v>
      </c>
      <c r="I66" s="299">
        <f t="shared" si="32"/>
        <v>277788.46153846162</v>
      </c>
    </row>
    <row r="67" spans="1:9" x14ac:dyDescent="0.25">
      <c r="A67" s="302" t="s">
        <v>664</v>
      </c>
      <c r="B67" s="292"/>
      <c r="C67" s="300"/>
      <c r="D67" s="300"/>
      <c r="E67" s="300"/>
      <c r="F67" s="300"/>
      <c r="G67" s="300"/>
      <c r="H67" s="300"/>
      <c r="I67" s="300"/>
    </row>
    <row r="68" spans="1:9" x14ac:dyDescent="0.25">
      <c r="A68" s="294" t="s">
        <v>218</v>
      </c>
      <c r="B68" s="295"/>
      <c r="C68" s="296">
        <v>1.05</v>
      </c>
      <c r="D68" s="296">
        <f t="shared" ref="D68:I68" si="33">C68+0.05</f>
        <v>1.1000000000000001</v>
      </c>
      <c r="E68" s="296">
        <f t="shared" si="33"/>
        <v>1.1500000000000001</v>
      </c>
      <c r="F68" s="296">
        <f t="shared" si="33"/>
        <v>1.2000000000000002</v>
      </c>
      <c r="G68" s="296">
        <f t="shared" si="33"/>
        <v>1.2500000000000002</v>
      </c>
      <c r="H68" s="296">
        <f t="shared" si="33"/>
        <v>1.3000000000000003</v>
      </c>
      <c r="I68" s="296">
        <f t="shared" si="33"/>
        <v>1.3500000000000003</v>
      </c>
    </row>
    <row r="69" spans="1:9" x14ac:dyDescent="0.25">
      <c r="A69" s="294" t="s">
        <v>219</v>
      </c>
      <c r="B69" s="297" t="s">
        <v>665</v>
      </c>
      <c r="C69" s="298">
        <f>C68*$F$5</f>
        <v>4213125</v>
      </c>
      <c r="D69" s="298">
        <f t="shared" ref="D69:I69" si="34">D68*$F$5</f>
        <v>4413750</v>
      </c>
      <c r="E69" s="298">
        <f t="shared" si="34"/>
        <v>4614375.0000000009</v>
      </c>
      <c r="F69" s="298">
        <f t="shared" si="34"/>
        <v>4815000.0000000009</v>
      </c>
      <c r="G69" s="298">
        <f t="shared" si="34"/>
        <v>5015625.0000000009</v>
      </c>
      <c r="H69" s="298">
        <f t="shared" si="34"/>
        <v>5216250.0000000009</v>
      </c>
      <c r="I69" s="298">
        <f t="shared" si="34"/>
        <v>5416875.0000000009</v>
      </c>
    </row>
    <row r="70" spans="1:9" x14ac:dyDescent="0.25">
      <c r="A70" s="294" t="s">
        <v>220</v>
      </c>
      <c r="B70" s="297"/>
      <c r="C70" s="299">
        <f>C69/26</f>
        <v>162043.26923076922</v>
      </c>
      <c r="D70" s="299">
        <f t="shared" ref="D70:I70" si="35">D69/26</f>
        <v>169759.61538461538</v>
      </c>
      <c r="E70" s="299">
        <f t="shared" si="35"/>
        <v>177475.96153846156</v>
      </c>
      <c r="F70" s="299">
        <f t="shared" si="35"/>
        <v>185192.30769230772</v>
      </c>
      <c r="G70" s="299">
        <f t="shared" si="35"/>
        <v>192908.65384615387</v>
      </c>
      <c r="H70" s="299">
        <f t="shared" si="35"/>
        <v>200625.00000000003</v>
      </c>
      <c r="I70" s="299">
        <f t="shared" si="35"/>
        <v>208341.34615384619</v>
      </c>
    </row>
    <row r="71" spans="1:9" x14ac:dyDescent="0.25">
      <c r="A71" s="291" t="s">
        <v>666</v>
      </c>
      <c r="B71" s="292"/>
      <c r="C71" s="300"/>
      <c r="D71" s="300"/>
      <c r="E71" s="300"/>
      <c r="F71" s="300"/>
      <c r="G71" s="300"/>
      <c r="H71" s="300"/>
      <c r="I71" s="300"/>
    </row>
    <row r="72" spans="1:9" x14ac:dyDescent="0.25">
      <c r="A72" s="294" t="s">
        <v>218</v>
      </c>
      <c r="B72" s="295"/>
      <c r="C72" s="296">
        <v>1.05</v>
      </c>
      <c r="D72" s="296">
        <f t="shared" ref="D72:I72" si="36">C72+0.07</f>
        <v>1.1200000000000001</v>
      </c>
      <c r="E72" s="296">
        <f t="shared" si="36"/>
        <v>1.1900000000000002</v>
      </c>
      <c r="F72" s="296">
        <f t="shared" si="36"/>
        <v>1.2600000000000002</v>
      </c>
      <c r="G72" s="296">
        <f t="shared" si="36"/>
        <v>1.3300000000000003</v>
      </c>
      <c r="H72" s="296">
        <f t="shared" si="36"/>
        <v>1.4000000000000004</v>
      </c>
      <c r="I72" s="296">
        <f t="shared" si="36"/>
        <v>1.4700000000000004</v>
      </c>
    </row>
    <row r="73" spans="1:9" x14ac:dyDescent="0.25">
      <c r="A73" s="294" t="s">
        <v>219</v>
      </c>
      <c r="B73" s="297" t="s">
        <v>667</v>
      </c>
      <c r="C73" s="298">
        <f>C72*$F$5</f>
        <v>4213125</v>
      </c>
      <c r="D73" s="298">
        <f t="shared" ref="D73:I73" si="37">D72*$F$5</f>
        <v>4494000</v>
      </c>
      <c r="E73" s="298">
        <f t="shared" si="37"/>
        <v>4774875.0000000009</v>
      </c>
      <c r="F73" s="298">
        <f t="shared" si="37"/>
        <v>5055750.0000000009</v>
      </c>
      <c r="G73" s="298">
        <f t="shared" si="37"/>
        <v>5336625.0000000009</v>
      </c>
      <c r="H73" s="298">
        <f t="shared" si="37"/>
        <v>5617500.0000000019</v>
      </c>
      <c r="I73" s="298">
        <f t="shared" si="37"/>
        <v>5898375.0000000019</v>
      </c>
    </row>
    <row r="74" spans="1:9" x14ac:dyDescent="0.25">
      <c r="A74" s="294" t="s">
        <v>220</v>
      </c>
      <c r="B74" s="297"/>
      <c r="C74" s="299">
        <f>C73/26</f>
        <v>162043.26923076922</v>
      </c>
      <c r="D74" s="299">
        <f t="shared" ref="D74:I74" si="38">D73/26</f>
        <v>172846.15384615384</v>
      </c>
      <c r="E74" s="299">
        <f t="shared" si="38"/>
        <v>183649.0384615385</v>
      </c>
      <c r="F74" s="299">
        <f t="shared" si="38"/>
        <v>194451.92307692312</v>
      </c>
      <c r="G74" s="299">
        <f t="shared" si="38"/>
        <v>205254.80769230772</v>
      </c>
      <c r="H74" s="299">
        <f t="shared" si="38"/>
        <v>216057.69230769237</v>
      </c>
      <c r="I74" s="299">
        <f t="shared" si="38"/>
        <v>226860.57692307699</v>
      </c>
    </row>
    <row r="75" spans="1:9" x14ac:dyDescent="0.25">
      <c r="A75" s="291" t="s">
        <v>668</v>
      </c>
      <c r="B75" s="292"/>
      <c r="C75" s="300"/>
      <c r="D75" s="300"/>
      <c r="E75" s="300"/>
      <c r="F75" s="300"/>
      <c r="G75" s="300"/>
      <c r="H75" s="300"/>
      <c r="I75" s="300"/>
    </row>
    <row r="76" spans="1:9" x14ac:dyDescent="0.25">
      <c r="A76" s="294" t="s">
        <v>218</v>
      </c>
      <c r="B76" s="295"/>
      <c r="C76" s="296">
        <v>1</v>
      </c>
      <c r="D76" s="296">
        <f t="shared" ref="D76:I76" si="39">C76+0.05</f>
        <v>1.05</v>
      </c>
      <c r="E76" s="296">
        <f t="shared" si="39"/>
        <v>1.1000000000000001</v>
      </c>
      <c r="F76" s="296">
        <f t="shared" si="39"/>
        <v>1.1500000000000001</v>
      </c>
      <c r="G76" s="296">
        <f t="shared" si="39"/>
        <v>1.2000000000000002</v>
      </c>
      <c r="H76" s="296">
        <f t="shared" si="39"/>
        <v>1.2500000000000002</v>
      </c>
      <c r="I76" s="296">
        <f t="shared" si="39"/>
        <v>1.3000000000000003</v>
      </c>
    </row>
    <row r="77" spans="1:9" x14ac:dyDescent="0.25">
      <c r="A77" s="294" t="s">
        <v>219</v>
      </c>
      <c r="B77" s="297" t="s">
        <v>669</v>
      </c>
      <c r="C77" s="298">
        <f>C76*$F$5</f>
        <v>4012500</v>
      </c>
      <c r="D77" s="298">
        <f t="shared" ref="D77:I77" si="40">D76*$F$5</f>
        <v>4213125</v>
      </c>
      <c r="E77" s="298">
        <f t="shared" si="40"/>
        <v>4413750</v>
      </c>
      <c r="F77" s="298">
        <f t="shared" si="40"/>
        <v>4614375.0000000009</v>
      </c>
      <c r="G77" s="298">
        <f t="shared" si="40"/>
        <v>4815000.0000000009</v>
      </c>
      <c r="H77" s="298">
        <f t="shared" si="40"/>
        <v>5015625.0000000009</v>
      </c>
      <c r="I77" s="298">
        <f t="shared" si="40"/>
        <v>5216250.0000000009</v>
      </c>
    </row>
    <row r="78" spans="1:9" x14ac:dyDescent="0.25">
      <c r="A78" s="294" t="s">
        <v>220</v>
      </c>
      <c r="B78" s="297"/>
      <c r="C78" s="299">
        <f>C77/26</f>
        <v>154326.92307692306</v>
      </c>
      <c r="D78" s="299">
        <f t="shared" ref="D78:I78" si="41">D77/26</f>
        <v>162043.26923076922</v>
      </c>
      <c r="E78" s="299">
        <f t="shared" si="41"/>
        <v>169759.61538461538</v>
      </c>
      <c r="F78" s="299">
        <f t="shared" si="41"/>
        <v>177475.96153846156</v>
      </c>
      <c r="G78" s="299">
        <f t="shared" si="41"/>
        <v>185192.30769230772</v>
      </c>
      <c r="H78" s="299">
        <f t="shared" si="41"/>
        <v>192908.65384615387</v>
      </c>
      <c r="I78" s="299">
        <f t="shared" si="41"/>
        <v>200625.00000000003</v>
      </c>
    </row>
  </sheetData>
  <mergeCells count="3">
    <mergeCell ref="C11:I11"/>
    <mergeCell ref="C28:I28"/>
    <mergeCell ref="C53:I53"/>
  </mergeCells>
  <pageMargins left="0.24" right="0.19" top="0.2" bottom="0.2" header="0.3" footer="0.3"/>
  <pageSetup paperSize="9" scale="90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filterMode="1">
    <tabColor theme="6" tint="-0.249977111117893"/>
  </sheetPr>
  <dimension ref="A1:AO91"/>
  <sheetViews>
    <sheetView zoomScale="115" zoomScaleNormal="115" workbookViewId="0">
      <pane xSplit="5" ySplit="5" topLeftCell="O6" activePane="bottomRight" state="frozenSplit"/>
      <selection pane="topRight" activeCell="L1" sqref="L1"/>
      <selection pane="bottomLeft" activeCell="A6" sqref="A6"/>
      <selection pane="bottomRight" activeCell="AF7" sqref="AF7"/>
    </sheetView>
  </sheetViews>
  <sheetFormatPr defaultColWidth="9.140625" defaultRowHeight="14.25" x14ac:dyDescent="0.2"/>
  <cols>
    <col min="1" max="1" width="5.140625" style="218" customWidth="1"/>
    <col min="2" max="2" width="7.85546875" style="218" customWidth="1"/>
    <col min="3" max="3" width="21.140625" style="218" customWidth="1"/>
    <col min="4" max="4" width="13.42578125" style="218" customWidth="1"/>
    <col min="5" max="5" width="13.140625" style="218" customWidth="1"/>
    <col min="6" max="6" width="7.7109375" style="218" customWidth="1"/>
    <col min="7" max="7" width="11.7109375" style="218" customWidth="1"/>
    <col min="8" max="8" width="8.140625" style="219" customWidth="1"/>
    <col min="9" max="9" width="6.5703125" style="219" bestFit="1" customWidth="1"/>
    <col min="10" max="10" width="14" style="275" customWidth="1"/>
    <col min="11" max="11" width="14" style="304" customWidth="1"/>
    <col min="12" max="12" width="11.28515625" style="312" customWidth="1"/>
    <col min="13" max="13" width="7.42578125" style="221" customWidth="1"/>
    <col min="14" max="14" width="10.28515625" style="220" bestFit="1" customWidth="1"/>
    <col min="15" max="19" width="7.42578125" style="220" customWidth="1"/>
    <col min="20" max="20" width="13.42578125" style="220" customWidth="1"/>
    <col min="21" max="21" width="11.140625" style="220" customWidth="1"/>
    <col min="22" max="22" width="12" style="220" customWidth="1"/>
    <col min="23" max="23" width="11.5703125" style="220" bestFit="1" customWidth="1"/>
    <col min="24" max="25" width="10.5703125" style="220" hidden="1" customWidth="1"/>
    <col min="26" max="26" width="10.5703125" style="220" customWidth="1"/>
    <col min="27" max="27" width="10.5703125" style="220" hidden="1" customWidth="1"/>
    <col min="28" max="28" width="10.5703125" style="270" customWidth="1"/>
    <col min="29" max="29" width="15" style="220" bestFit="1" customWidth="1"/>
    <col min="30" max="30" width="15" style="270" customWidth="1"/>
    <col min="31" max="32" width="15" style="304" customWidth="1"/>
    <col min="33" max="33" width="13.42578125" style="220" customWidth="1"/>
    <col min="34" max="34" width="13" style="220" customWidth="1"/>
    <col min="35" max="35" width="0.140625" style="220" hidden="1" customWidth="1"/>
    <col min="36" max="36" width="15.28515625" style="220" customWidth="1"/>
    <col min="37" max="37" width="14" style="218" customWidth="1"/>
    <col min="38" max="38" width="4.140625" style="220" hidden="1" customWidth="1"/>
    <col min="39" max="39" width="15.5703125" style="220" hidden="1" customWidth="1"/>
    <col min="40" max="41" width="9.140625" style="218" hidden="1" customWidth="1"/>
    <col min="42" max="46" width="9.140625" style="218" customWidth="1"/>
    <col min="47" max="16384" width="9.140625" style="218"/>
  </cols>
  <sheetData>
    <row r="1" spans="1:39" x14ac:dyDescent="0.2">
      <c r="A1" s="218" t="s">
        <v>536</v>
      </c>
    </row>
    <row r="2" spans="1:39" ht="18" customHeight="1" x14ac:dyDescent="0.25">
      <c r="A2" s="218" t="s">
        <v>537</v>
      </c>
      <c r="H2" s="218"/>
      <c r="J2" s="275" t="s">
        <v>591</v>
      </c>
      <c r="K2" s="309" t="s">
        <v>591</v>
      </c>
      <c r="L2" s="313"/>
      <c r="P2" s="222"/>
      <c r="T2" s="267">
        <v>42429</v>
      </c>
      <c r="AC2" s="220" t="s">
        <v>556</v>
      </c>
      <c r="AH2" s="223">
        <v>0.105</v>
      </c>
    </row>
    <row r="3" spans="1:39" ht="0.75" hidden="1" customHeight="1" x14ac:dyDescent="0.2">
      <c r="G3" s="224">
        <f>3500000*107%</f>
        <v>3745000</v>
      </c>
      <c r="K3" s="220"/>
      <c r="L3" s="220"/>
      <c r="M3" s="225">
        <v>26</v>
      </c>
      <c r="N3" s="224"/>
      <c r="V3" s="224">
        <v>1</v>
      </c>
      <c r="W3" s="224">
        <v>300000</v>
      </c>
      <c r="AE3" s="270"/>
      <c r="AF3" s="270"/>
    </row>
    <row r="4" spans="1:39" s="228" customFormat="1" ht="103.5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376</v>
      </c>
      <c r="F4" s="4" t="s">
        <v>377</v>
      </c>
      <c r="G4" s="4" t="s">
        <v>229</v>
      </c>
      <c r="H4" s="4" t="s">
        <v>217</v>
      </c>
      <c r="I4" s="4" t="s">
        <v>230</v>
      </c>
      <c r="J4" s="271" t="s">
        <v>538</v>
      </c>
      <c r="K4" s="305" t="s">
        <v>538</v>
      </c>
      <c r="L4" s="314"/>
      <c r="M4" s="169" t="s">
        <v>354</v>
      </c>
      <c r="N4" s="32" t="s">
        <v>534</v>
      </c>
      <c r="O4" s="32" t="s">
        <v>592</v>
      </c>
      <c r="P4" s="32" t="s">
        <v>357</v>
      </c>
      <c r="Q4" s="32" t="s">
        <v>387</v>
      </c>
      <c r="R4" s="32" t="s">
        <v>593</v>
      </c>
      <c r="S4" s="32" t="s">
        <v>388</v>
      </c>
      <c r="T4" s="32" t="s">
        <v>533</v>
      </c>
      <c r="U4" s="32" t="s">
        <v>535</v>
      </c>
      <c r="V4" s="32" t="s">
        <v>370</v>
      </c>
      <c r="W4" s="32" t="s">
        <v>371</v>
      </c>
      <c r="X4" s="32" t="s">
        <v>558</v>
      </c>
      <c r="Y4" s="32" t="s">
        <v>558</v>
      </c>
      <c r="Z4" s="32" t="s">
        <v>559</v>
      </c>
      <c r="AA4" s="32" t="s">
        <v>558</v>
      </c>
      <c r="AB4" s="271" t="s">
        <v>633</v>
      </c>
      <c r="AC4" s="32" t="s">
        <v>237</v>
      </c>
      <c r="AD4" s="271">
        <f>AE6-AD6</f>
        <v>1203750</v>
      </c>
      <c r="AE4" s="305"/>
      <c r="AF4" s="305" t="s">
        <v>670</v>
      </c>
      <c r="AG4" s="32" t="s">
        <v>545</v>
      </c>
      <c r="AH4" s="32" t="s">
        <v>544</v>
      </c>
      <c r="AI4" s="32" t="s">
        <v>546</v>
      </c>
      <c r="AJ4" s="32" t="s">
        <v>546</v>
      </c>
      <c r="AK4" s="226" t="s">
        <v>552</v>
      </c>
      <c r="AL4" s="227"/>
      <c r="AM4" s="227" t="s">
        <v>555</v>
      </c>
    </row>
    <row r="5" spans="1:39" s="10" customFormat="1" hidden="1" x14ac:dyDescent="0.2">
      <c r="A5" s="23" t="s">
        <v>14</v>
      </c>
      <c r="B5" s="23"/>
      <c r="C5" s="23" t="s">
        <v>15</v>
      </c>
      <c r="D5" s="23"/>
      <c r="E5" s="23"/>
      <c r="F5" s="23"/>
      <c r="G5" s="25"/>
      <c r="H5" s="29"/>
      <c r="I5" s="29"/>
      <c r="J5" s="276"/>
      <c r="K5" s="34"/>
      <c r="L5" s="34"/>
      <c r="M5" s="79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203"/>
      <c r="AC5" s="34" t="e">
        <f ca="1">SUM(AC6:AC11)</f>
        <v>#N/A</v>
      </c>
      <c r="AD5" s="203"/>
      <c r="AE5" s="203"/>
      <c r="AF5" s="203"/>
      <c r="AG5" s="34" t="e">
        <f>SUM(AG6:AG11)</f>
        <v>#REF!</v>
      </c>
      <c r="AH5" s="34">
        <f>SUM(AH6:AH11)</f>
        <v>1125600</v>
      </c>
      <c r="AI5" s="34" t="e">
        <f ca="1">SUM(AI6:AI11)</f>
        <v>#N/A</v>
      </c>
      <c r="AJ5" s="34" t="e">
        <f ca="1">SUM(AJ6:AJ11)</f>
        <v>#N/A</v>
      </c>
      <c r="AK5" s="229"/>
      <c r="AL5" s="230"/>
      <c r="AM5" s="230"/>
    </row>
    <row r="6" spans="1:39" s="10" customFormat="1" ht="23.25" customHeight="1" x14ac:dyDescent="0.2">
      <c r="A6" s="250">
        <v>1</v>
      </c>
      <c r="B6" s="3" t="s">
        <v>161</v>
      </c>
      <c r="C6" s="250" t="s">
        <v>562</v>
      </c>
      <c r="D6" s="250" t="s">
        <v>566</v>
      </c>
      <c r="E6" s="252">
        <v>42339</v>
      </c>
      <c r="F6" s="111">
        <f t="shared" ref="F6:F14" ca="1" si="0">IF(E6=0,0,INT((NOW()-E6)/365))</f>
        <v>3</v>
      </c>
      <c r="G6" s="22">
        <f t="shared" ref="G6:G75" si="1">$G$3</f>
        <v>3745000</v>
      </c>
      <c r="H6" s="251" t="s">
        <v>650</v>
      </c>
      <c r="I6" s="251">
        <v>3</v>
      </c>
      <c r="J6" s="277">
        <v>16852500</v>
      </c>
      <c r="K6" s="306">
        <f>VLOOKUP(H6,'thang luong moi'!B:I,'Bang luong (chaun)'!I6+1,0)</f>
        <v>18056250</v>
      </c>
      <c r="L6" s="315">
        <f t="shared" ref="L6:L11" si="2">(K6-J6)/K6</f>
        <v>6.6666666666666666E-2</v>
      </c>
      <c r="M6" s="77" t="e">
        <f>VLOOKUP(C6,CC!$C$5:$AJ$67,34,0)</f>
        <v>#N/A</v>
      </c>
      <c r="N6" s="22" t="e">
        <f>K6/26*M6</f>
        <v>#N/A</v>
      </c>
      <c r="O6" s="22" t="e">
        <f>VLOOKUP(C6,CC!$C$5:$AM$67,36,0)</f>
        <v>#N/A</v>
      </c>
      <c r="P6" s="22" t="e">
        <f>VLOOKUP(C6,CC!$C$5:$BS$67,69,0)</f>
        <v>#N/A</v>
      </c>
      <c r="Q6" s="22" t="e">
        <f>VLOOKUP(C6,CC!$C$5:$BT$67,70,0)</f>
        <v>#N/A</v>
      </c>
      <c r="R6" s="22" t="e">
        <f>VLOOKUP(C6,CC!$C$5:$AM$67,37,0)</f>
        <v>#N/A</v>
      </c>
      <c r="S6" s="22" t="e">
        <f>VLOOKUP(C6,CC!$C$5:$AM$67,35,0)</f>
        <v>#N/A</v>
      </c>
      <c r="T6" s="22" t="e">
        <f>((K6/26)*M6)+(O6*(K6/26))+((P6/8)*1.5*(K6/26))+((Q6/8)*2*K6/26)+(S6*3*(K6/26)+(K6/26)*R6)</f>
        <v>#N/A</v>
      </c>
      <c r="U6" s="22"/>
      <c r="V6" s="22">
        <f t="shared" ref="V6:V11" ca="1" si="3">IF((F6-$V$3)&gt;0,F6%*K6,0)</f>
        <v>541687.5</v>
      </c>
      <c r="W6" s="22"/>
      <c r="X6" s="22"/>
      <c r="Y6" s="22"/>
      <c r="Z6" s="22">
        <v>8148000</v>
      </c>
      <c r="AA6" s="22"/>
      <c r="AB6" s="199">
        <f>8148000-1872500</f>
        <v>6275500</v>
      </c>
      <c r="AC6" s="106" t="e">
        <f t="shared" ref="AC6:AC11" ca="1" si="4">T6+V6+W6+Z6+U6</f>
        <v>#N/A</v>
      </c>
      <c r="AD6" s="203">
        <f t="shared" ref="AD6:AD11" si="5">J6+AB6</f>
        <v>23128000</v>
      </c>
      <c r="AE6" s="204">
        <f t="shared" ref="AE6:AE11" si="6">K6+AB6</f>
        <v>24331750</v>
      </c>
      <c r="AF6" s="204">
        <v>25000000</v>
      </c>
      <c r="AG6" s="106" t="e">
        <f>'ung luong'!#REF!</f>
        <v>#REF!</v>
      </c>
      <c r="AH6" s="106">
        <f t="shared" ref="AH6:AH11" si="7">AM6*$AH$2</f>
        <v>0</v>
      </c>
      <c r="AI6" s="106" t="e">
        <f ca="1">AC6-AG6-AH6</f>
        <v>#N/A</v>
      </c>
      <c r="AJ6" s="106" t="e">
        <f ca="1">ROUND(AI6,-3)</f>
        <v>#N/A</v>
      </c>
      <c r="AK6" s="229"/>
      <c r="AL6" s="230"/>
      <c r="AM6" s="230"/>
    </row>
    <row r="7" spans="1:39" ht="21" customHeight="1" x14ac:dyDescent="0.2">
      <c r="A7" s="250">
        <f>A6+1</f>
        <v>2</v>
      </c>
      <c r="B7" s="3" t="s">
        <v>162</v>
      </c>
      <c r="C7" s="3" t="s">
        <v>62</v>
      </c>
      <c r="D7" s="3" t="s">
        <v>201</v>
      </c>
      <c r="E7" s="110">
        <v>38078</v>
      </c>
      <c r="F7" s="111">
        <f t="shared" ca="1" si="0"/>
        <v>15</v>
      </c>
      <c r="G7" s="22">
        <f t="shared" si="1"/>
        <v>3745000</v>
      </c>
      <c r="H7" s="28" t="s">
        <v>209</v>
      </c>
      <c r="I7" s="28">
        <v>2</v>
      </c>
      <c r="J7" s="277">
        <v>6366500</v>
      </c>
      <c r="K7" s="306">
        <f>VLOOKUP(H7,'thang luong moi'!B:I,'Bang luong (chaun)'!I7+1,0)</f>
        <v>7222500</v>
      </c>
      <c r="L7" s="315">
        <f t="shared" si="2"/>
        <v>0.11851851851851852</v>
      </c>
      <c r="M7" s="77" t="e">
        <f>VLOOKUP(C7,CC!$C$5:$AJ$67,34,0)</f>
        <v>#N/A</v>
      </c>
      <c r="N7" s="22" t="e">
        <f>K7/26*M7</f>
        <v>#N/A</v>
      </c>
      <c r="O7" s="22" t="e">
        <f>VLOOKUP(C7,CC!$C$5:$AM$67,36,0)</f>
        <v>#N/A</v>
      </c>
      <c r="P7" s="22" t="e">
        <f>VLOOKUP(C7,CC!$C$5:$BS$67,69,0)</f>
        <v>#N/A</v>
      </c>
      <c r="Q7" s="22" t="e">
        <f>VLOOKUP(C7,CC!$C$5:$BT$67,70,0)</f>
        <v>#N/A</v>
      </c>
      <c r="R7" s="22" t="e">
        <f>VLOOKUP(C7,CC!$C$5:$AM$67,37,0)</f>
        <v>#N/A</v>
      </c>
      <c r="S7" s="22" t="e">
        <f>VLOOKUP(C7,CC!$C$5:$AM$67,35,0)</f>
        <v>#N/A</v>
      </c>
      <c r="T7" s="22" t="e">
        <f t="shared" ref="T7:T56" si="8">((K7/26)*M7)+(O7*(K7/26))+((P7/8)*1.5*(K7/26))+((Q7/8)*2*K7/26)+(S7*3*(K7/26)+(K7/26)*R7)</f>
        <v>#N/A</v>
      </c>
      <c r="U7" s="22"/>
      <c r="V7" s="22">
        <f t="shared" ca="1" si="3"/>
        <v>1083375</v>
      </c>
      <c r="W7" s="22">
        <f ca="1">(100%-SUMIF('chuyên cần'!$C$6:$AP$31,'Bang luong (chaun)'!C7,'chuyên cần'!$AP$7:$AP$31))*$W$3</f>
        <v>300000</v>
      </c>
      <c r="X7" s="22"/>
      <c r="Y7" s="22"/>
      <c r="Z7" s="22">
        <v>2999685</v>
      </c>
      <c r="AA7" s="22"/>
      <c r="AB7" s="199">
        <v>4000000</v>
      </c>
      <c r="AC7" s="106" t="e">
        <f t="shared" ca="1" si="4"/>
        <v>#N/A</v>
      </c>
      <c r="AD7" s="203">
        <f t="shared" si="5"/>
        <v>10366500</v>
      </c>
      <c r="AE7" s="204">
        <f t="shared" si="6"/>
        <v>11222500</v>
      </c>
      <c r="AF7" s="204">
        <v>10741000</v>
      </c>
      <c r="AG7" s="106" t="e">
        <f>'ung luong'!#REF!</f>
        <v>#REF!</v>
      </c>
      <c r="AH7" s="106">
        <f t="shared" si="7"/>
        <v>422100</v>
      </c>
      <c r="AI7" s="106" t="e">
        <f ca="1">AC7-AG7-AH7</f>
        <v>#N/A</v>
      </c>
      <c r="AJ7" s="106" t="e">
        <f ca="1">ROUND(AI7,-3)</f>
        <v>#N/A</v>
      </c>
      <c r="AK7" s="231"/>
      <c r="AM7" s="220">
        <v>4020000</v>
      </c>
    </row>
    <row r="8" spans="1:39" ht="21" customHeight="1" x14ac:dyDescent="0.2">
      <c r="A8" s="250">
        <f>A7+1</f>
        <v>3</v>
      </c>
      <c r="B8" s="3" t="s">
        <v>163</v>
      </c>
      <c r="C8" s="3" t="s">
        <v>63</v>
      </c>
      <c r="D8" s="3" t="s">
        <v>202</v>
      </c>
      <c r="E8" s="110">
        <v>40868</v>
      </c>
      <c r="F8" s="111">
        <f t="shared" ca="1" si="0"/>
        <v>7</v>
      </c>
      <c r="G8" s="22">
        <f t="shared" si="1"/>
        <v>3745000</v>
      </c>
      <c r="H8" s="28" t="s">
        <v>209</v>
      </c>
      <c r="I8" s="28">
        <v>2</v>
      </c>
      <c r="J8" s="277">
        <v>6366500</v>
      </c>
      <c r="K8" s="306">
        <f>VLOOKUP(H8,'thang luong moi'!B:I,'Bang luong (chaun)'!I8+1,0)</f>
        <v>7222500</v>
      </c>
      <c r="L8" s="315">
        <f t="shared" si="2"/>
        <v>0.11851851851851852</v>
      </c>
      <c r="M8" s="77" t="e">
        <f>VLOOKUP(C8,CC!$C$5:$AJ$67,34,0)</f>
        <v>#N/A</v>
      </c>
      <c r="N8" s="22" t="e">
        <f t="shared" ref="N8:N55" si="9">K8/26*M8</f>
        <v>#N/A</v>
      </c>
      <c r="O8" s="22" t="e">
        <f>VLOOKUP(C8,CC!$C$5:$AM$67,36,0)</f>
        <v>#N/A</v>
      </c>
      <c r="P8" s="22" t="e">
        <f>VLOOKUP(C8,CC!$C$5:$BS$67,69,0)</f>
        <v>#N/A</v>
      </c>
      <c r="Q8" s="22" t="e">
        <f>VLOOKUP(C8,CC!$C$5:$BT$67,70,0)</f>
        <v>#N/A</v>
      </c>
      <c r="R8" s="22" t="e">
        <f>VLOOKUP(C8,CC!$C$5:$AM$67,37,0)</f>
        <v>#N/A</v>
      </c>
      <c r="S8" s="22" t="e">
        <f>VLOOKUP(C8,CC!$C$5:$AM$67,35,0)</f>
        <v>#N/A</v>
      </c>
      <c r="T8" s="22" t="e">
        <f t="shared" si="8"/>
        <v>#N/A</v>
      </c>
      <c r="U8" s="22"/>
      <c r="V8" s="22">
        <f t="shared" ca="1" si="3"/>
        <v>505575.00000000006</v>
      </c>
      <c r="W8" s="22">
        <f ca="1">(100%-SUMIF('chuyên cần'!$C$6:$AP$31,'Bang luong (chaun)'!C8,'chuyên cần'!$AP$7:$AP$31))*$W$3</f>
        <v>300000</v>
      </c>
      <c r="X8" s="22"/>
      <c r="Y8" s="22"/>
      <c r="Z8" s="22">
        <v>1845340</v>
      </c>
      <c r="AA8" s="22"/>
      <c r="AB8" s="199">
        <v>2400000</v>
      </c>
      <c r="AC8" s="106" t="e">
        <f t="shared" ca="1" si="4"/>
        <v>#N/A</v>
      </c>
      <c r="AD8" s="203">
        <f t="shared" si="5"/>
        <v>8766500</v>
      </c>
      <c r="AE8" s="204">
        <f t="shared" si="6"/>
        <v>9622500</v>
      </c>
      <c r="AF8" s="204">
        <v>9141000</v>
      </c>
      <c r="AG8" s="106" t="e">
        <f>'ung luong'!#REF!</f>
        <v>#REF!</v>
      </c>
      <c r="AH8" s="106">
        <f t="shared" si="7"/>
        <v>351750</v>
      </c>
      <c r="AI8" s="106" t="e">
        <f t="shared" ref="AI8:AI55" ca="1" si="10">AC8-AG8-AH8</f>
        <v>#N/A</v>
      </c>
      <c r="AJ8" s="106" t="e">
        <f t="shared" ref="AJ8:AJ55" ca="1" si="11">ROUND(AI8,-3)</f>
        <v>#N/A</v>
      </c>
      <c r="AK8" s="231"/>
      <c r="AM8" s="220">
        <v>3350000</v>
      </c>
    </row>
    <row r="9" spans="1:39" ht="21" customHeight="1" x14ac:dyDescent="0.2">
      <c r="A9" s="250">
        <f>A8+1</f>
        <v>4</v>
      </c>
      <c r="B9" s="3" t="s">
        <v>164</v>
      </c>
      <c r="C9" s="3" t="s">
        <v>64</v>
      </c>
      <c r="D9" s="3" t="s">
        <v>103</v>
      </c>
      <c r="E9" s="110">
        <v>41715</v>
      </c>
      <c r="F9" s="111">
        <f t="shared" ca="1" si="0"/>
        <v>5</v>
      </c>
      <c r="G9" s="22">
        <f t="shared" si="1"/>
        <v>3745000</v>
      </c>
      <c r="H9" s="28" t="s">
        <v>659</v>
      </c>
      <c r="I9" s="28">
        <v>3</v>
      </c>
      <c r="J9" s="277">
        <v>4868500</v>
      </c>
      <c r="K9" s="306">
        <f>VLOOKUP(H9,'thang luong moi'!B:I,'Bang luong (chaun)'!I9+1,0)</f>
        <v>5095875</v>
      </c>
      <c r="L9" s="315">
        <f t="shared" si="2"/>
        <v>4.4619422572178477E-2</v>
      </c>
      <c r="M9" s="77" t="e">
        <f>VLOOKUP(C9,CC!$C$5:$AJ$67,34,0)</f>
        <v>#N/A</v>
      </c>
      <c r="N9" s="22" t="e">
        <f>K9/26*M9</f>
        <v>#N/A</v>
      </c>
      <c r="O9" s="22" t="e">
        <f>VLOOKUP(C9,CC!$C$5:$AM$67,36,0)</f>
        <v>#N/A</v>
      </c>
      <c r="P9" s="22" t="e">
        <f>VLOOKUP(C9,CC!$C$5:$BS$67,69,0)</f>
        <v>#N/A</v>
      </c>
      <c r="Q9" s="22" t="e">
        <f>VLOOKUP(C9,CC!$C$5:$BT$67,70,0)</f>
        <v>#N/A</v>
      </c>
      <c r="R9" s="22" t="e">
        <f>VLOOKUP(C9,CC!$C$5:$AM$67,37,0)</f>
        <v>#N/A</v>
      </c>
      <c r="S9" s="22" t="e">
        <f>VLOOKUP(C9,CC!$C$5:$AM$67,35,0)</f>
        <v>#N/A</v>
      </c>
      <c r="T9" s="22" t="e">
        <f t="shared" si="8"/>
        <v>#N/A</v>
      </c>
      <c r="U9" s="22"/>
      <c r="V9" s="22">
        <f t="shared" ca="1" si="3"/>
        <v>254793.75</v>
      </c>
      <c r="W9" s="22">
        <f ca="1">(100%-SUMIF('chuyên cần'!$C$6:$AP$31,'Bang luong (chaun)'!C9,'chuyên cần'!$AP$7:$AP$31))*$W$3</f>
        <v>300000</v>
      </c>
      <c r="X9" s="22"/>
      <c r="Y9" s="22"/>
      <c r="Z9" s="22">
        <v>800000</v>
      </c>
      <c r="AA9" s="22"/>
      <c r="AB9" s="199">
        <v>1197370</v>
      </c>
      <c r="AC9" s="106" t="e">
        <f t="shared" ca="1" si="4"/>
        <v>#N/A</v>
      </c>
      <c r="AD9" s="203">
        <f t="shared" si="5"/>
        <v>6065870</v>
      </c>
      <c r="AE9" s="204">
        <f t="shared" si="6"/>
        <v>6293245</v>
      </c>
      <c r="AF9" s="204">
        <v>5953520</v>
      </c>
      <c r="AG9" s="106" t="e">
        <f>'ung luong'!#REF!</f>
        <v>#REF!</v>
      </c>
      <c r="AH9" s="106">
        <f t="shared" si="7"/>
        <v>351750</v>
      </c>
      <c r="AI9" s="106" t="e">
        <f t="shared" ca="1" si="10"/>
        <v>#N/A</v>
      </c>
      <c r="AJ9" s="106" t="e">
        <f t="shared" ca="1" si="11"/>
        <v>#N/A</v>
      </c>
      <c r="AK9" s="231"/>
      <c r="AM9" s="220">
        <v>3350000</v>
      </c>
    </row>
    <row r="10" spans="1:39" ht="21" customHeight="1" x14ac:dyDescent="0.2">
      <c r="A10" s="250">
        <f>A9+1</f>
        <v>5</v>
      </c>
      <c r="B10" s="3" t="s">
        <v>165</v>
      </c>
      <c r="C10" s="3" t="s">
        <v>65</v>
      </c>
      <c r="D10" s="3" t="s">
        <v>203</v>
      </c>
      <c r="E10" s="110">
        <v>42086</v>
      </c>
      <c r="F10" s="111">
        <f ca="1">IF(E10=0,0,INT((NOW()-E10)/365))</f>
        <v>4</v>
      </c>
      <c r="G10" s="22">
        <f t="shared" si="1"/>
        <v>3745000</v>
      </c>
      <c r="H10" s="28" t="s">
        <v>659</v>
      </c>
      <c r="I10" s="28">
        <v>1</v>
      </c>
      <c r="J10" s="277">
        <v>3745000</v>
      </c>
      <c r="K10" s="306">
        <f>VLOOKUP(H10,'thang luong moi'!B:I,'Bang luong (chaun)'!I10+1,0)</f>
        <v>4694625</v>
      </c>
      <c r="L10" s="315">
        <f t="shared" si="2"/>
        <v>0.20227920227920229</v>
      </c>
      <c r="M10" s="77">
        <f>VLOOKUP(C10,CC!$C$5:$AJ$67,34,0)</f>
        <v>23</v>
      </c>
      <c r="N10" s="22">
        <f>K10/26*M10</f>
        <v>4152937.5</v>
      </c>
      <c r="O10" s="22">
        <f>VLOOKUP(C10,CC!$C$5:$AM$67,36,0)</f>
        <v>0</v>
      </c>
      <c r="P10" s="22">
        <f>VLOOKUP(C10,CC!$C$5:$BS$67,69,0)</f>
        <v>0</v>
      </c>
      <c r="Q10" s="22">
        <f>VLOOKUP(C10,CC!$C$5:$BT$67,70,0)</f>
        <v>0</v>
      </c>
      <c r="R10" s="22">
        <f>VLOOKUP(C10,CC!$C$5:$AM$67,37,0)</f>
        <v>1</v>
      </c>
      <c r="S10" s="22">
        <f>VLOOKUP(C10,CC!$C$5:$AM$67,35,0)</f>
        <v>0</v>
      </c>
      <c r="T10" s="22">
        <f t="shared" si="8"/>
        <v>4333500</v>
      </c>
      <c r="U10" s="22"/>
      <c r="V10" s="22">
        <f t="shared" ca="1" si="3"/>
        <v>187785</v>
      </c>
      <c r="W10" s="22">
        <f ca="1">(100%-SUMIF('chuyên cần'!$C$6:$AP$31,'Bang luong (chaun)'!C10,'chuyên cần'!$AP$7:$AP$31))*$W$3</f>
        <v>300000</v>
      </c>
      <c r="X10" s="22"/>
      <c r="Y10" s="22"/>
      <c r="Z10" s="22">
        <v>800001</v>
      </c>
      <c r="AA10" s="22"/>
      <c r="AB10" s="199">
        <v>800001</v>
      </c>
      <c r="AC10" s="106">
        <f t="shared" ca="1" si="4"/>
        <v>5621286</v>
      </c>
      <c r="AD10" s="203">
        <f t="shared" si="5"/>
        <v>4545001</v>
      </c>
      <c r="AE10" s="204">
        <f t="shared" si="6"/>
        <v>5494626</v>
      </c>
      <c r="AF10" s="204">
        <v>5181651</v>
      </c>
      <c r="AG10" s="106" t="e">
        <f>'ung luong'!#REF!</f>
        <v>#REF!</v>
      </c>
      <c r="AH10" s="106">
        <f t="shared" si="7"/>
        <v>0</v>
      </c>
      <c r="AI10" s="106" t="e">
        <f ca="1">AC10-AG10-AH10</f>
        <v>#REF!</v>
      </c>
      <c r="AJ10" s="106" t="e">
        <f ca="1">ROUND(AI10,-3)</f>
        <v>#REF!</v>
      </c>
      <c r="AK10" s="231"/>
    </row>
    <row r="11" spans="1:39" ht="21" customHeight="1" x14ac:dyDescent="0.2">
      <c r="A11" s="250">
        <f>A10+1</f>
        <v>6</v>
      </c>
      <c r="B11" s="250" t="s">
        <v>575</v>
      </c>
      <c r="C11" s="250" t="s">
        <v>568</v>
      </c>
      <c r="D11" s="250" t="s">
        <v>569</v>
      </c>
      <c r="E11" s="252">
        <v>42008</v>
      </c>
      <c r="F11" s="264">
        <f t="shared" ca="1" si="0"/>
        <v>4</v>
      </c>
      <c r="G11" s="249">
        <f t="shared" si="1"/>
        <v>3745000</v>
      </c>
      <c r="H11" s="251" t="s">
        <v>209</v>
      </c>
      <c r="I11" s="251">
        <v>3</v>
      </c>
      <c r="J11" s="277">
        <v>7490000</v>
      </c>
      <c r="K11" s="306">
        <f>VLOOKUP(H11,'thang luong moi'!B:I,'Bang luong (chaun)'!I11+1,0)</f>
        <v>8025000</v>
      </c>
      <c r="L11" s="315">
        <f t="shared" si="2"/>
        <v>6.6666666666666666E-2</v>
      </c>
      <c r="M11" s="259" t="e">
        <f>VLOOKUP(C11,CC!$C$5:$AJ$67,34,0)</f>
        <v>#N/A</v>
      </c>
      <c r="N11" s="249" t="e">
        <f>K11/26*M11</f>
        <v>#N/A</v>
      </c>
      <c r="O11" s="249" t="e">
        <f>VLOOKUP(C11,CC!$C$5:$AM$67,36,0)</f>
        <v>#N/A</v>
      </c>
      <c r="P11" s="249" t="e">
        <f>VLOOKUP(C11,CC!$C$5:$BS$67,69,0)</f>
        <v>#N/A</v>
      </c>
      <c r="Q11" s="249" t="e">
        <f>VLOOKUP(C11,CC!$C$5:$BT$67,70,0)</f>
        <v>#N/A</v>
      </c>
      <c r="R11" s="249" t="e">
        <f>VLOOKUP(C11,CC!$C$5:$AM$67,37,0)</f>
        <v>#N/A</v>
      </c>
      <c r="S11" s="249" t="e">
        <f>VLOOKUP(C11,CC!$C$5:$AM$67,35,0)</f>
        <v>#N/A</v>
      </c>
      <c r="T11" s="249" t="e">
        <f t="shared" si="8"/>
        <v>#N/A</v>
      </c>
      <c r="U11" s="249"/>
      <c r="V11" s="249">
        <f t="shared" ca="1" si="3"/>
        <v>321000</v>
      </c>
      <c r="W11" s="249">
        <f ca="1">(100%-SUMIF('chuyên cần'!$C$6:$AP$31,'Bang luong (chaun)'!C11,'chuyên cần'!$AP$7:$AP$31))*$W$3</f>
        <v>300000</v>
      </c>
      <c r="X11" s="249"/>
      <c r="Y11" s="249"/>
      <c r="Z11" s="249">
        <v>2500000</v>
      </c>
      <c r="AA11" s="249"/>
      <c r="AB11" s="199">
        <v>2500000</v>
      </c>
      <c r="AC11" s="265" t="e">
        <f t="shared" ca="1" si="4"/>
        <v>#N/A</v>
      </c>
      <c r="AD11" s="203">
        <f t="shared" si="5"/>
        <v>9990000</v>
      </c>
      <c r="AE11" s="204">
        <f t="shared" si="6"/>
        <v>10525000</v>
      </c>
      <c r="AF11" s="204">
        <v>9990000</v>
      </c>
      <c r="AG11" s="265" t="e">
        <f>'ung luong'!#REF!</f>
        <v>#REF!</v>
      </c>
      <c r="AH11" s="265">
        <f t="shared" si="7"/>
        <v>0</v>
      </c>
      <c r="AI11" s="265" t="e">
        <f ca="1">AC11-AG11-AH11</f>
        <v>#N/A</v>
      </c>
      <c r="AJ11" s="265" t="e">
        <f ca="1">ROUND(AI11,-3)</f>
        <v>#N/A</v>
      </c>
      <c r="AK11" s="266"/>
    </row>
    <row r="12" spans="1:39" s="10" customFormat="1" ht="21" hidden="1" customHeight="1" x14ac:dyDescent="0.2">
      <c r="A12" s="23"/>
      <c r="B12" s="23"/>
      <c r="C12" s="23" t="s">
        <v>361</v>
      </c>
      <c r="D12" s="23"/>
      <c r="E12" s="23"/>
      <c r="F12" s="23"/>
      <c r="G12" s="25"/>
      <c r="H12" s="29"/>
      <c r="I12" s="29"/>
      <c r="J12" s="276"/>
      <c r="K12" s="34"/>
      <c r="L12" s="34"/>
      <c r="M12" s="232"/>
      <c r="N12" s="105"/>
      <c r="O12" s="105"/>
      <c r="P12" s="105"/>
      <c r="Q12" s="105"/>
      <c r="R12" s="105"/>
      <c r="S12" s="105"/>
      <c r="T12" s="34"/>
      <c r="U12" s="34"/>
      <c r="V12" s="174"/>
      <c r="W12" s="25"/>
      <c r="X12" s="34"/>
      <c r="Y12" s="34"/>
      <c r="Z12" s="34">
        <v>0</v>
      </c>
      <c r="AA12" s="34"/>
      <c r="AB12" s="203"/>
      <c r="AC12" s="34" t="e">
        <f ca="1">SUM(AC13:AC14)</f>
        <v>#N/A</v>
      </c>
      <c r="AD12" s="203"/>
      <c r="AE12" s="203"/>
      <c r="AF12" s="203"/>
      <c r="AG12" s="34" t="e">
        <f>SUM(AG13:AG14)</f>
        <v>#REF!</v>
      </c>
      <c r="AH12" s="34">
        <f>SUM(AH13:AH14)</f>
        <v>422100</v>
      </c>
      <c r="AI12" s="34" t="e">
        <f ca="1">SUM(AI13:AI14)</f>
        <v>#N/A</v>
      </c>
      <c r="AJ12" s="34" t="e">
        <f ca="1">SUM(AJ13:AJ14)</f>
        <v>#N/A</v>
      </c>
      <c r="AK12" s="229"/>
      <c r="AL12" s="220"/>
      <c r="AM12" s="230"/>
    </row>
    <row r="13" spans="1:39" ht="21" customHeight="1" x14ac:dyDescent="0.2">
      <c r="A13" s="3">
        <f>A11+1</f>
        <v>7</v>
      </c>
      <c r="B13" s="3" t="s">
        <v>166</v>
      </c>
      <c r="C13" s="3" t="s">
        <v>36</v>
      </c>
      <c r="D13" s="3" t="s">
        <v>364</v>
      </c>
      <c r="E13" s="110">
        <v>40651</v>
      </c>
      <c r="F13" s="111">
        <f t="shared" ca="1" si="0"/>
        <v>8</v>
      </c>
      <c r="G13" s="22">
        <f t="shared" si="1"/>
        <v>3745000</v>
      </c>
      <c r="H13" s="28" t="s">
        <v>209</v>
      </c>
      <c r="I13" s="28">
        <v>3</v>
      </c>
      <c r="J13" s="277">
        <v>7115500</v>
      </c>
      <c r="K13" s="306">
        <f>VLOOKUP(H13,'thang luong moi'!B:I,'Bang luong (chaun)'!I13+1,0)</f>
        <v>8025000</v>
      </c>
      <c r="L13" s="315">
        <f>(K13-J13)/K13</f>
        <v>0.11333333333333333</v>
      </c>
      <c r="M13" s="77" t="e">
        <f>VLOOKUP(C13,CC!$C$5:$AJ$67,34,0)</f>
        <v>#N/A</v>
      </c>
      <c r="N13" s="22" t="e">
        <f t="shared" si="9"/>
        <v>#N/A</v>
      </c>
      <c r="O13" s="22" t="e">
        <f>VLOOKUP(C13,CC!$C$5:$AM$67,36,0)</f>
        <v>#N/A</v>
      </c>
      <c r="P13" s="22" t="e">
        <f>VLOOKUP(C13,CC!$C$5:$BS$67,69,0)</f>
        <v>#N/A</v>
      </c>
      <c r="Q13" s="22" t="e">
        <f>VLOOKUP(C13,CC!$C$5:$BT$67,70,0)</f>
        <v>#N/A</v>
      </c>
      <c r="R13" s="22" t="e">
        <f>VLOOKUP(C13,CC!$C$5:$AM$67,37,0)</f>
        <v>#N/A</v>
      </c>
      <c r="S13" s="22" t="e">
        <f>VLOOKUP(C13,CC!$C$5:$AM$67,35,0)</f>
        <v>#N/A</v>
      </c>
      <c r="T13" s="22" t="e">
        <f t="shared" si="8"/>
        <v>#N/A</v>
      </c>
      <c r="U13" s="22"/>
      <c r="V13" s="22">
        <f ca="1">IF((F13-$V$3)&gt;0,F13%*K13,0)</f>
        <v>642000</v>
      </c>
      <c r="W13" s="22">
        <f ca="1">(100%-SUMIF('chuyên cần'!$C$6:$AP$31,'Bang luong (chaun)'!C13,'chuyên cần'!$AP$7:$AP$31))*$W$3</f>
        <v>300000</v>
      </c>
      <c r="X13" s="22"/>
      <c r="Y13" s="22"/>
      <c r="Z13" s="22">
        <v>1715380</v>
      </c>
      <c r="AA13" s="22"/>
      <c r="AB13" s="199">
        <v>2300000</v>
      </c>
      <c r="AC13" s="106" t="e">
        <f ca="1">T13+V13+W13+Z13+U13</f>
        <v>#N/A</v>
      </c>
      <c r="AD13" s="203">
        <f>J13+AB13</f>
        <v>9415500</v>
      </c>
      <c r="AE13" s="204">
        <f>K13+AB13</f>
        <v>10325000</v>
      </c>
      <c r="AF13" s="204">
        <v>9790000</v>
      </c>
      <c r="AG13" s="106" t="e">
        <f>'ung luong'!#REF!</f>
        <v>#REF!</v>
      </c>
      <c r="AH13" s="106">
        <f>AM13*$AH$2</f>
        <v>422100</v>
      </c>
      <c r="AI13" s="106" t="e">
        <f t="shared" ca="1" si="10"/>
        <v>#N/A</v>
      </c>
      <c r="AJ13" s="106" t="e">
        <f t="shared" ca="1" si="11"/>
        <v>#N/A</v>
      </c>
      <c r="AK13" s="231"/>
      <c r="AM13" s="220">
        <v>4020000</v>
      </c>
    </row>
    <row r="14" spans="1:39" ht="21" customHeight="1" x14ac:dyDescent="0.2">
      <c r="A14" s="3">
        <f>A13+1</f>
        <v>8</v>
      </c>
      <c r="B14" s="3" t="s">
        <v>167</v>
      </c>
      <c r="C14" s="3" t="s">
        <v>362</v>
      </c>
      <c r="D14" s="3" t="s">
        <v>363</v>
      </c>
      <c r="E14" s="110"/>
      <c r="F14" s="111">
        <f t="shared" ca="1" si="0"/>
        <v>0</v>
      </c>
      <c r="G14" s="22">
        <f t="shared" si="1"/>
        <v>3745000</v>
      </c>
      <c r="H14" s="28" t="s">
        <v>659</v>
      </c>
      <c r="I14" s="28">
        <v>1</v>
      </c>
      <c r="J14" s="277">
        <v>3745000</v>
      </c>
      <c r="K14" s="306">
        <f>VLOOKUP(H14,'thang luong moi'!B:I,'Bang luong (chaun)'!I14+1,0)</f>
        <v>4694625</v>
      </c>
      <c r="L14" s="315">
        <f>(K14-J14)/K14</f>
        <v>0.20227920227920229</v>
      </c>
      <c r="M14" s="77" t="e">
        <f>VLOOKUP(C14,CC!$C$5:$AJ$67,34,0)</f>
        <v>#N/A</v>
      </c>
      <c r="N14" s="22" t="e">
        <f t="shared" si="9"/>
        <v>#N/A</v>
      </c>
      <c r="O14" s="22" t="e">
        <f>VLOOKUP(C14,CC!$C$5:$AM$67,36,0)</f>
        <v>#N/A</v>
      </c>
      <c r="P14" s="22" t="e">
        <f>VLOOKUP(C14,CC!$C$5:$BS$67,69,0)</f>
        <v>#N/A</v>
      </c>
      <c r="Q14" s="22" t="e">
        <f>VLOOKUP(C14,CC!$C$5:$BT$67,70,0)</f>
        <v>#N/A</v>
      </c>
      <c r="R14" s="22" t="e">
        <f>VLOOKUP(C14,CC!$C$5:$AM$67,37,0)</f>
        <v>#N/A</v>
      </c>
      <c r="S14" s="22" t="e">
        <f>VLOOKUP(C14,CC!$C$5:$AM$67,35,0)</f>
        <v>#N/A</v>
      </c>
      <c r="T14" s="22" t="e">
        <f t="shared" si="8"/>
        <v>#N/A</v>
      </c>
      <c r="U14" s="22"/>
      <c r="V14" s="22">
        <f ca="1">IF((F14-$V$3)&gt;0,F14%*K14,0)</f>
        <v>0</v>
      </c>
      <c r="W14" s="22">
        <f ca="1">(100%-SUMIF('chuyên cần'!$C$6:$AP$31,'Bang luong (chaun)'!C14,'chuyên cần'!$AP$7:$AP$31))*$W$3</f>
        <v>300000</v>
      </c>
      <c r="X14" s="22"/>
      <c r="Y14" s="22"/>
      <c r="Z14" s="22">
        <v>1300000</v>
      </c>
      <c r="AA14" s="22"/>
      <c r="AB14" s="199">
        <v>1300000</v>
      </c>
      <c r="AC14" s="106" t="e">
        <f ca="1">T14+V14+W14+Z14+U14</f>
        <v>#N/A</v>
      </c>
      <c r="AD14" s="203">
        <f>J14+AB14</f>
        <v>5045000</v>
      </c>
      <c r="AE14" s="204">
        <f>K14+AB14</f>
        <v>5994625</v>
      </c>
      <c r="AF14" s="204">
        <v>5681650</v>
      </c>
      <c r="AG14" s="106" t="e">
        <f>'ung luong'!#REF!</f>
        <v>#REF!</v>
      </c>
      <c r="AH14" s="106">
        <f>AM14*$AH$2</f>
        <v>0</v>
      </c>
      <c r="AI14" s="106" t="e">
        <f t="shared" ca="1" si="10"/>
        <v>#N/A</v>
      </c>
      <c r="AJ14" s="106" t="e">
        <f ca="1">ROUND(AI14,-3)</f>
        <v>#N/A</v>
      </c>
      <c r="AK14" s="231"/>
    </row>
    <row r="15" spans="1:39" s="10" customFormat="1" ht="21" hidden="1" customHeight="1" x14ac:dyDescent="0.2">
      <c r="A15" s="23" t="s">
        <v>16</v>
      </c>
      <c r="B15" s="23"/>
      <c r="C15" s="23" t="s">
        <v>17</v>
      </c>
      <c r="D15" s="23"/>
      <c r="E15" s="23"/>
      <c r="F15" s="23"/>
      <c r="G15" s="34"/>
      <c r="H15" s="29"/>
      <c r="I15" s="29"/>
      <c r="J15" s="276"/>
      <c r="K15" s="34"/>
      <c r="L15" s="34"/>
      <c r="M15" s="232"/>
      <c r="N15" s="105"/>
      <c r="O15" s="105"/>
      <c r="P15" s="105"/>
      <c r="Q15" s="105"/>
      <c r="R15" s="105"/>
      <c r="S15" s="105"/>
      <c r="T15" s="34"/>
      <c r="U15" s="34"/>
      <c r="V15" s="174"/>
      <c r="W15" s="34"/>
      <c r="X15" s="34"/>
      <c r="Y15" s="34"/>
      <c r="Z15" s="34">
        <v>0</v>
      </c>
      <c r="AA15" s="34"/>
      <c r="AB15" s="203"/>
      <c r="AC15" s="34" t="e">
        <f t="shared" ref="AC15:AH15" ca="1" si="12">SUM(AC16:AC23)</f>
        <v>#N/A</v>
      </c>
      <c r="AD15" s="203"/>
      <c r="AE15" s="203"/>
      <c r="AF15" s="203"/>
      <c r="AG15" s="34" t="e">
        <f t="shared" si="12"/>
        <v>#REF!</v>
      </c>
      <c r="AH15" s="34">
        <f t="shared" si="12"/>
        <v>348285</v>
      </c>
      <c r="AI15" s="34" t="e">
        <f ca="1">SUM(AI16:AI23)</f>
        <v>#N/A</v>
      </c>
      <c r="AJ15" s="34" t="e">
        <f ca="1">SUM(AJ16:AJ23)</f>
        <v>#N/A</v>
      </c>
      <c r="AK15" s="229"/>
      <c r="AL15" s="220"/>
      <c r="AM15" s="230"/>
    </row>
    <row r="16" spans="1:39" ht="21" customHeight="1" x14ac:dyDescent="0.2">
      <c r="A16" s="3">
        <f>A14+1</f>
        <v>9</v>
      </c>
      <c r="B16" s="3" t="s">
        <v>168</v>
      </c>
      <c r="C16" s="3" t="s">
        <v>66</v>
      </c>
      <c r="D16" s="3" t="s">
        <v>204</v>
      </c>
      <c r="E16" s="110">
        <v>41487</v>
      </c>
      <c r="F16" s="111">
        <f>IF(E16=0,0,INT(($T$2-E16)/365))</f>
        <v>2</v>
      </c>
      <c r="G16" s="22">
        <f t="shared" si="1"/>
        <v>3745000</v>
      </c>
      <c r="H16" s="28" t="s">
        <v>209</v>
      </c>
      <c r="I16" s="28">
        <v>3</v>
      </c>
      <c r="J16" s="277">
        <v>7115500</v>
      </c>
      <c r="K16" s="306">
        <f>VLOOKUP(H16,'thang luong moi'!B:I,'Bang luong (chaun)'!I16+1,0)</f>
        <v>8025000</v>
      </c>
      <c r="L16" s="315">
        <f t="shared" ref="L16:L23" si="13">(K16-J16)/K16</f>
        <v>0.11333333333333333</v>
      </c>
      <c r="M16" s="77" t="e">
        <f>VLOOKUP(C16,CC!$C$5:$AJ$67,34,0)</f>
        <v>#N/A</v>
      </c>
      <c r="N16" s="22" t="e">
        <f t="shared" si="9"/>
        <v>#N/A</v>
      </c>
      <c r="O16" s="22" t="e">
        <f>VLOOKUP(C16,CC!$C$5:$AM$67,36,0)</f>
        <v>#N/A</v>
      </c>
      <c r="P16" s="22" t="e">
        <f>VLOOKUP(C16,CC!$C$5:$BS$67,69,0)</f>
        <v>#N/A</v>
      </c>
      <c r="Q16" s="22" t="e">
        <f>VLOOKUP(C16,CC!$C$5:$BT$67,70,0)</f>
        <v>#N/A</v>
      </c>
      <c r="R16" s="22" t="e">
        <f>VLOOKUP(C16,CC!$C$5:$AM$67,37,0)</f>
        <v>#N/A</v>
      </c>
      <c r="S16" s="22" t="e">
        <f>VLOOKUP(C16,CC!$C$5:$AM$67,35,0)</f>
        <v>#N/A</v>
      </c>
      <c r="T16" s="22" t="e">
        <f t="shared" si="8"/>
        <v>#N/A</v>
      </c>
      <c r="U16" s="22"/>
      <c r="V16" s="22">
        <f t="shared" ref="V16:V23" si="14">IF((F16-$V$3)&gt;0,F16%*K16,0)</f>
        <v>160500</v>
      </c>
      <c r="W16" s="22">
        <f ca="1">(100%-SUMIF('chuyên cần'!$C$6:$AP$31,'Bang luong (chaun)'!C16,'chuyên cần'!$AP$7:$AP$31))*$W$3</f>
        <v>300000</v>
      </c>
      <c r="X16" s="22"/>
      <c r="Y16" s="22"/>
      <c r="Z16" s="22">
        <v>1107690</v>
      </c>
      <c r="AA16" s="22"/>
      <c r="AB16" s="199">
        <v>1250000</v>
      </c>
      <c r="AC16" s="106" t="e">
        <f t="shared" ref="AC16:AC23" ca="1" si="15">T16+V16+W16+Z16+U16</f>
        <v>#N/A</v>
      </c>
      <c r="AD16" s="203">
        <f t="shared" ref="AD16:AD23" si="16">J16+AB16</f>
        <v>8365500</v>
      </c>
      <c r="AE16" s="204">
        <f t="shared" ref="AE16:AE23" si="17">K16+AB16</f>
        <v>9275000</v>
      </c>
      <c r="AF16" s="204">
        <v>8740000</v>
      </c>
      <c r="AG16" s="106" t="e">
        <f>'ung luong'!#REF!</f>
        <v>#REF!</v>
      </c>
      <c r="AH16" s="106">
        <f t="shared" ref="AH16:AH23" si="18">AM16*$AH$2</f>
        <v>348285</v>
      </c>
      <c r="AI16" s="106" t="e">
        <f t="shared" ca="1" si="10"/>
        <v>#N/A</v>
      </c>
      <c r="AJ16" s="106" t="e">
        <f t="shared" ca="1" si="11"/>
        <v>#N/A</v>
      </c>
      <c r="AK16" s="231"/>
      <c r="AM16" s="220">
        <v>3317000</v>
      </c>
    </row>
    <row r="17" spans="1:39" ht="21" customHeight="1" x14ac:dyDescent="0.2">
      <c r="A17" s="3">
        <f t="shared" ref="A17:A23" si="19">A16+1</f>
        <v>10</v>
      </c>
      <c r="B17" s="3" t="s">
        <v>169</v>
      </c>
      <c r="C17" s="3" t="s">
        <v>61</v>
      </c>
      <c r="D17" s="3" t="s">
        <v>205</v>
      </c>
      <c r="E17" s="110">
        <v>42114</v>
      </c>
      <c r="F17" s="111">
        <f t="shared" ref="F17:F79" si="20">IF(E17=0,0,INT(($T$2-E17)/365))</f>
        <v>0</v>
      </c>
      <c r="G17" s="22">
        <f t="shared" si="1"/>
        <v>3745000</v>
      </c>
      <c r="H17" s="28" t="s">
        <v>209</v>
      </c>
      <c r="I17" s="28">
        <v>3</v>
      </c>
      <c r="J17" s="277">
        <v>7115500</v>
      </c>
      <c r="K17" s="306">
        <f>VLOOKUP(H17,'thang luong moi'!B:I,'Bang luong (chaun)'!I17+1,0)</f>
        <v>8025000</v>
      </c>
      <c r="L17" s="315">
        <f t="shared" si="13"/>
        <v>0.11333333333333333</v>
      </c>
      <c r="M17" s="77" t="e">
        <f>VLOOKUP(C17,CC!$C$5:$AJ$67,34,0)</f>
        <v>#N/A</v>
      </c>
      <c r="N17" s="22" t="e">
        <f t="shared" si="9"/>
        <v>#N/A</v>
      </c>
      <c r="O17" s="22" t="e">
        <f>VLOOKUP(C17,CC!$C$5:$AM$67,36,0)</f>
        <v>#N/A</v>
      </c>
      <c r="P17" s="22" t="e">
        <f>VLOOKUP(C17,CC!$C$5:$BS$67,69,0)</f>
        <v>#N/A</v>
      </c>
      <c r="Q17" s="22" t="e">
        <f>VLOOKUP(C17,CC!$C$5:$BT$67,70,0)</f>
        <v>#N/A</v>
      </c>
      <c r="R17" s="22" t="e">
        <f>VLOOKUP(C17,CC!$C$5:$AM$67,37,0)</f>
        <v>#N/A</v>
      </c>
      <c r="S17" s="22" t="e">
        <f>VLOOKUP(C17,CC!$C$5:$AM$67,35,0)</f>
        <v>#N/A</v>
      </c>
      <c r="T17" s="22" t="e">
        <f t="shared" si="8"/>
        <v>#N/A</v>
      </c>
      <c r="U17" s="22"/>
      <c r="V17" s="22">
        <f t="shared" si="14"/>
        <v>0</v>
      </c>
      <c r="W17" s="22">
        <f ca="1">(100%-SUMIF('chuyên cần'!$C$6:$AP$31,'Bang luong (chaun)'!C17,'chuyên cần'!$AP$7:$AP$31))*$W$3</f>
        <v>300000</v>
      </c>
      <c r="X17" s="22"/>
      <c r="Y17" s="22"/>
      <c r="Z17" s="22">
        <v>1200000</v>
      </c>
      <c r="AA17" s="22"/>
      <c r="AB17" s="199">
        <v>1275000</v>
      </c>
      <c r="AC17" s="106" t="e">
        <f t="shared" ca="1" si="15"/>
        <v>#N/A</v>
      </c>
      <c r="AD17" s="203">
        <f t="shared" si="16"/>
        <v>8390500</v>
      </c>
      <c r="AE17" s="204">
        <f t="shared" si="17"/>
        <v>9300000</v>
      </c>
      <c r="AF17" s="204">
        <v>8765000</v>
      </c>
      <c r="AG17" s="106" t="e">
        <f>'ung luong'!#REF!</f>
        <v>#REF!</v>
      </c>
      <c r="AH17" s="106">
        <f t="shared" si="18"/>
        <v>0</v>
      </c>
      <c r="AI17" s="106" t="e">
        <f t="shared" ca="1" si="10"/>
        <v>#N/A</v>
      </c>
      <c r="AJ17" s="106" t="e">
        <f t="shared" ca="1" si="11"/>
        <v>#N/A</v>
      </c>
      <c r="AK17" s="231"/>
    </row>
    <row r="18" spans="1:39" ht="21" customHeight="1" x14ac:dyDescent="0.2">
      <c r="A18" s="3">
        <f t="shared" si="19"/>
        <v>11</v>
      </c>
      <c r="B18" s="3" t="s">
        <v>499</v>
      </c>
      <c r="C18" s="3" t="s">
        <v>547</v>
      </c>
      <c r="D18" s="3" t="s">
        <v>548</v>
      </c>
      <c r="E18" s="110">
        <v>42248</v>
      </c>
      <c r="F18" s="111">
        <f t="shared" si="20"/>
        <v>0</v>
      </c>
      <c r="G18" s="22">
        <f t="shared" si="1"/>
        <v>3745000</v>
      </c>
      <c r="H18" s="28" t="s">
        <v>210</v>
      </c>
      <c r="I18" s="28">
        <v>1</v>
      </c>
      <c r="J18" s="277">
        <v>3745000</v>
      </c>
      <c r="K18" s="306">
        <f>VLOOKUP(H18,'thang luong moi'!B:I,'Bang luong (chaun)'!I18+1,0)</f>
        <v>5216250</v>
      </c>
      <c r="L18" s="315">
        <f t="shared" si="13"/>
        <v>0.28205128205128205</v>
      </c>
      <c r="M18" s="77" t="e">
        <f>VLOOKUP(C18,CC!$C$5:$AJ$67,34,0)</f>
        <v>#N/A</v>
      </c>
      <c r="N18" s="22" t="e">
        <f t="shared" ref="N18:N23" si="21">K18/26*M18</f>
        <v>#N/A</v>
      </c>
      <c r="O18" s="22" t="e">
        <f>VLOOKUP(C18,CC!$C$5:$AM$67,36,0)</f>
        <v>#N/A</v>
      </c>
      <c r="P18" s="22" t="e">
        <f>VLOOKUP(C18,CC!$C$5:$BS$67,69,0)</f>
        <v>#N/A</v>
      </c>
      <c r="Q18" s="22" t="e">
        <f>VLOOKUP(C18,CC!$C$5:$BT$67,70,0)</f>
        <v>#N/A</v>
      </c>
      <c r="R18" s="22" t="e">
        <f>VLOOKUP(C18,CC!$C$5:$AM$67,37,0)</f>
        <v>#N/A</v>
      </c>
      <c r="S18" s="22" t="e">
        <f>VLOOKUP(C18,CC!$C$5:$AM$67,35,0)</f>
        <v>#N/A</v>
      </c>
      <c r="T18" s="22" t="e">
        <f t="shared" ref="T18:T23" si="22">((K18/26)*M18)+(O18*(K18/26))+((P18/8)*1.5*(K18/26))+((Q18/8)*2*K18/26)+(S18*3*(K18/26)+(K18/26)*R18)</f>
        <v>#N/A</v>
      </c>
      <c r="U18" s="22"/>
      <c r="V18" s="22">
        <f t="shared" si="14"/>
        <v>0</v>
      </c>
      <c r="W18" s="22">
        <f ca="1">(100%-SUMIF('chuyên cần'!$C$6:$AP$31,'Bang luong (chaun)'!C18,'chuyên cần'!$AP$7:$AP$31))*$W$3</f>
        <v>300000</v>
      </c>
      <c r="X18" s="22"/>
      <c r="Y18" s="22"/>
      <c r="Z18" s="22">
        <v>1200001</v>
      </c>
      <c r="AA18" s="22"/>
      <c r="AB18" s="199">
        <v>1200001</v>
      </c>
      <c r="AC18" s="106" t="e">
        <f t="shared" ca="1" si="15"/>
        <v>#N/A</v>
      </c>
      <c r="AD18" s="203">
        <f t="shared" si="16"/>
        <v>4945001</v>
      </c>
      <c r="AE18" s="204">
        <f t="shared" si="17"/>
        <v>6416251</v>
      </c>
      <c r="AF18" s="204">
        <v>6068501</v>
      </c>
      <c r="AG18" s="106" t="e">
        <f>'ung luong'!#REF!</f>
        <v>#REF!</v>
      </c>
      <c r="AH18" s="106">
        <f t="shared" si="18"/>
        <v>0</v>
      </c>
      <c r="AI18" s="106" t="e">
        <f t="shared" ref="AI18:AI23" ca="1" si="23">AC18-AG18-AH18</f>
        <v>#N/A</v>
      </c>
      <c r="AJ18" s="106" t="e">
        <f ca="1">ROUND(AI18,-3)</f>
        <v>#N/A</v>
      </c>
      <c r="AK18" s="231"/>
    </row>
    <row r="19" spans="1:39" ht="21" customHeight="1" x14ac:dyDescent="0.2">
      <c r="A19" s="3">
        <f t="shared" si="19"/>
        <v>12</v>
      </c>
      <c r="B19" s="250" t="s">
        <v>570</v>
      </c>
      <c r="C19" s="250" t="s">
        <v>573</v>
      </c>
      <c r="D19" s="250" t="s">
        <v>574</v>
      </c>
      <c r="E19" s="252">
        <v>42380</v>
      </c>
      <c r="F19" s="111">
        <f t="shared" si="20"/>
        <v>0</v>
      </c>
      <c r="G19" s="249">
        <f t="shared" si="1"/>
        <v>3745000</v>
      </c>
      <c r="H19" s="251" t="s">
        <v>210</v>
      </c>
      <c r="I19" s="251">
        <v>1</v>
      </c>
      <c r="J19" s="277">
        <v>3745000</v>
      </c>
      <c r="K19" s="306">
        <f>VLOOKUP(H19,'thang luong moi'!B:I,'Bang luong (chaun)'!I19+1,0)</f>
        <v>5216250</v>
      </c>
      <c r="L19" s="315">
        <f t="shared" si="13"/>
        <v>0.28205128205128205</v>
      </c>
      <c r="M19" s="259" t="e">
        <f>VLOOKUP(C19,CC!$C$5:$AJ$67,34,0)</f>
        <v>#N/A</v>
      </c>
      <c r="N19" s="249" t="e">
        <f t="shared" si="21"/>
        <v>#N/A</v>
      </c>
      <c r="O19" s="249" t="e">
        <f>VLOOKUP(C19,CC!$C$5:$AM$67,36,0)</f>
        <v>#N/A</v>
      </c>
      <c r="P19" s="249" t="e">
        <f>VLOOKUP(C19,CC!$C$5:$BS$67,69,0)</f>
        <v>#N/A</v>
      </c>
      <c r="Q19" s="249" t="e">
        <f>VLOOKUP(C19,CC!$C$5:$BT$67,70,0)</f>
        <v>#N/A</v>
      </c>
      <c r="R19" s="249" t="e">
        <f>VLOOKUP(C19,CC!$C$5:$AM$67,37,0)</f>
        <v>#N/A</v>
      </c>
      <c r="S19" s="249" t="e">
        <f>VLOOKUP(C19,CC!$C$5:$AM$67,35,0)</f>
        <v>#N/A</v>
      </c>
      <c r="T19" s="249" t="e">
        <f t="shared" si="22"/>
        <v>#N/A</v>
      </c>
      <c r="U19" s="249"/>
      <c r="V19" s="249">
        <f t="shared" si="14"/>
        <v>0</v>
      </c>
      <c r="W19" s="249">
        <f ca="1">(100%-SUMIF('chuyên cần'!$C$6:$AP$31,'Bang luong (chaun)'!C19,'chuyên cần'!$AP$7:$AP$31))*$W$3</f>
        <v>300000</v>
      </c>
      <c r="X19" s="249"/>
      <c r="Y19" s="249"/>
      <c r="Z19" s="249">
        <v>2255000</v>
      </c>
      <c r="AA19" s="249"/>
      <c r="AB19" s="199">
        <v>2255000</v>
      </c>
      <c r="AC19" s="265" t="e">
        <f t="shared" ca="1" si="15"/>
        <v>#N/A</v>
      </c>
      <c r="AD19" s="203">
        <f t="shared" si="16"/>
        <v>6000000</v>
      </c>
      <c r="AE19" s="204">
        <f t="shared" si="17"/>
        <v>7471250</v>
      </c>
      <c r="AF19" s="204">
        <v>7123500</v>
      </c>
      <c r="AG19" s="265" t="e">
        <f>'ung luong'!#REF!</f>
        <v>#REF!</v>
      </c>
      <c r="AH19" s="265">
        <f t="shared" si="18"/>
        <v>0</v>
      </c>
      <c r="AI19" s="265" t="e">
        <f t="shared" ca="1" si="23"/>
        <v>#N/A</v>
      </c>
      <c r="AJ19" s="265" t="e">
        <f ca="1">ROUND(AI19,-3)*0.85</f>
        <v>#N/A</v>
      </c>
      <c r="AK19" s="266"/>
    </row>
    <row r="20" spans="1:39" ht="21" customHeight="1" x14ac:dyDescent="0.2">
      <c r="A20" s="3">
        <f t="shared" si="19"/>
        <v>13</v>
      </c>
      <c r="B20" s="250" t="s">
        <v>583</v>
      </c>
      <c r="C20" s="250" t="s">
        <v>579</v>
      </c>
      <c r="D20" s="250" t="s">
        <v>574</v>
      </c>
      <c r="E20" s="252">
        <v>42387</v>
      </c>
      <c r="F20" s="111">
        <f t="shared" si="20"/>
        <v>0</v>
      </c>
      <c r="G20" s="249">
        <f t="shared" si="1"/>
        <v>3745000</v>
      </c>
      <c r="H20" s="251" t="s">
        <v>210</v>
      </c>
      <c r="I20" s="251">
        <v>1</v>
      </c>
      <c r="J20" s="277">
        <v>3745000</v>
      </c>
      <c r="K20" s="306">
        <f>VLOOKUP(H20,'thang luong moi'!B:I,'Bang luong (chaun)'!I20+1,0)</f>
        <v>5216250</v>
      </c>
      <c r="L20" s="315">
        <f t="shared" si="13"/>
        <v>0.28205128205128205</v>
      </c>
      <c r="M20" s="259" t="e">
        <f>VLOOKUP(C20,CC!$C$5:$AJ$67,34,0)</f>
        <v>#N/A</v>
      </c>
      <c r="N20" s="249" t="e">
        <f t="shared" si="21"/>
        <v>#N/A</v>
      </c>
      <c r="O20" s="249" t="e">
        <f>VLOOKUP(C20,CC!$C$5:$AM$67,36,0)</f>
        <v>#N/A</v>
      </c>
      <c r="P20" s="249" t="e">
        <f>VLOOKUP(C20,CC!$C$5:$BS$67,69,0)</f>
        <v>#N/A</v>
      </c>
      <c r="Q20" s="249" t="e">
        <f>VLOOKUP(C20,CC!$C$5:$BT$67,70,0)</f>
        <v>#N/A</v>
      </c>
      <c r="R20" s="249" t="e">
        <f>VLOOKUP(C20,CC!$C$5:$AM$67,37,0)</f>
        <v>#N/A</v>
      </c>
      <c r="S20" s="249" t="e">
        <f>VLOOKUP(C20,CC!$C$5:$AM$67,35,0)</f>
        <v>#N/A</v>
      </c>
      <c r="T20" s="249" t="e">
        <f t="shared" si="22"/>
        <v>#N/A</v>
      </c>
      <c r="U20" s="249"/>
      <c r="V20" s="249">
        <f t="shared" si="14"/>
        <v>0</v>
      </c>
      <c r="W20" s="249">
        <f ca="1">(100%-SUMIF('chuyên cần'!$C$6:$AP$31,'Bang luong (chaun)'!C20,'chuyên cần'!$AP$7:$AP$31))*$W$3</f>
        <v>300000</v>
      </c>
      <c r="X20" s="249"/>
      <c r="Y20" s="249"/>
      <c r="Z20" s="249">
        <v>1255000</v>
      </c>
      <c r="AA20" s="249"/>
      <c r="AB20" s="199">
        <v>1255000</v>
      </c>
      <c r="AC20" s="265" t="e">
        <f t="shared" ca="1" si="15"/>
        <v>#N/A</v>
      </c>
      <c r="AD20" s="203">
        <f t="shared" si="16"/>
        <v>5000000</v>
      </c>
      <c r="AE20" s="204">
        <f t="shared" si="17"/>
        <v>6471250</v>
      </c>
      <c r="AF20" s="204">
        <v>6123500</v>
      </c>
      <c r="AG20" s="265" t="e">
        <f>'ung luong'!#REF!</f>
        <v>#REF!</v>
      </c>
      <c r="AH20" s="265">
        <f t="shared" si="18"/>
        <v>0</v>
      </c>
      <c r="AI20" s="265" t="e">
        <f t="shared" ca="1" si="23"/>
        <v>#N/A</v>
      </c>
      <c r="AJ20" s="265" t="e">
        <f ca="1">ROUND(AI20,-3)</f>
        <v>#N/A</v>
      </c>
      <c r="AK20" s="266"/>
    </row>
    <row r="21" spans="1:39" ht="21" customHeight="1" x14ac:dyDescent="0.2">
      <c r="A21" s="3">
        <f t="shared" si="19"/>
        <v>14</v>
      </c>
      <c r="B21" s="250" t="s">
        <v>584</v>
      </c>
      <c r="C21" s="250" t="s">
        <v>580</v>
      </c>
      <c r="D21" s="250" t="s">
        <v>574</v>
      </c>
      <c r="E21" s="252">
        <v>42387</v>
      </c>
      <c r="F21" s="111">
        <f t="shared" si="20"/>
        <v>0</v>
      </c>
      <c r="G21" s="249">
        <f t="shared" si="1"/>
        <v>3745000</v>
      </c>
      <c r="H21" s="251" t="s">
        <v>210</v>
      </c>
      <c r="I21" s="251">
        <v>1</v>
      </c>
      <c r="J21" s="277">
        <v>3745000</v>
      </c>
      <c r="K21" s="306">
        <f>VLOOKUP(H21,'thang luong moi'!B:I,'Bang luong (chaun)'!I21+1,0)</f>
        <v>5216250</v>
      </c>
      <c r="L21" s="315">
        <f t="shared" si="13"/>
        <v>0.28205128205128205</v>
      </c>
      <c r="M21" s="259" t="e">
        <f>VLOOKUP(C21,CC!$C$5:$AJ$67,34,0)</f>
        <v>#N/A</v>
      </c>
      <c r="N21" s="249" t="e">
        <f t="shared" si="21"/>
        <v>#N/A</v>
      </c>
      <c r="O21" s="249" t="e">
        <f>VLOOKUP(C21,CC!$C$5:$AM$67,36,0)</f>
        <v>#N/A</v>
      </c>
      <c r="P21" s="249" t="e">
        <f>VLOOKUP(C21,CC!$C$5:$BS$67,69,0)</f>
        <v>#N/A</v>
      </c>
      <c r="Q21" s="249" t="e">
        <f>VLOOKUP(C21,CC!$C$5:$BT$67,70,0)</f>
        <v>#N/A</v>
      </c>
      <c r="R21" s="249" t="e">
        <f>VLOOKUP(C21,CC!$C$5:$AM$67,37,0)</f>
        <v>#N/A</v>
      </c>
      <c r="S21" s="249" t="e">
        <f>VLOOKUP(C21,CC!$C$5:$AM$67,35,0)</f>
        <v>#N/A</v>
      </c>
      <c r="T21" s="249" t="e">
        <f t="shared" si="22"/>
        <v>#N/A</v>
      </c>
      <c r="U21" s="249"/>
      <c r="V21" s="249">
        <f t="shared" si="14"/>
        <v>0</v>
      </c>
      <c r="W21" s="249">
        <f ca="1">(100%-SUMIF('chuyên cần'!$C$6:$AP$31,'Bang luong (chaun)'!C21,'chuyên cần'!$AP$7:$AP$31))*$W$3</f>
        <v>300000</v>
      </c>
      <c r="X21" s="249"/>
      <c r="Y21" s="249"/>
      <c r="Z21" s="249">
        <v>1255000</v>
      </c>
      <c r="AA21" s="249"/>
      <c r="AB21" s="199">
        <v>1255000</v>
      </c>
      <c r="AC21" s="265" t="e">
        <f t="shared" ca="1" si="15"/>
        <v>#N/A</v>
      </c>
      <c r="AD21" s="203">
        <f t="shared" si="16"/>
        <v>5000000</v>
      </c>
      <c r="AE21" s="204">
        <f t="shared" si="17"/>
        <v>6471250</v>
      </c>
      <c r="AF21" s="204">
        <v>6123500</v>
      </c>
      <c r="AG21" s="265" t="e">
        <f>'ung luong'!#REF!</f>
        <v>#REF!</v>
      </c>
      <c r="AH21" s="265">
        <f t="shared" si="18"/>
        <v>0</v>
      </c>
      <c r="AI21" s="265" t="e">
        <f t="shared" ca="1" si="23"/>
        <v>#N/A</v>
      </c>
      <c r="AJ21" s="265" t="e">
        <f ca="1">ROUND(AI21,-3)</f>
        <v>#N/A</v>
      </c>
      <c r="AK21" s="266"/>
    </row>
    <row r="22" spans="1:39" ht="21" customHeight="1" x14ac:dyDescent="0.2">
      <c r="A22" s="3">
        <f t="shared" si="19"/>
        <v>15</v>
      </c>
      <c r="B22" s="250" t="s">
        <v>585</v>
      </c>
      <c r="C22" s="250" t="s">
        <v>581</v>
      </c>
      <c r="D22" s="250" t="s">
        <v>582</v>
      </c>
      <c r="E22" s="252">
        <v>42388</v>
      </c>
      <c r="F22" s="111">
        <f t="shared" si="20"/>
        <v>0</v>
      </c>
      <c r="G22" s="249">
        <f t="shared" si="1"/>
        <v>3745000</v>
      </c>
      <c r="H22" s="251" t="s">
        <v>659</v>
      </c>
      <c r="I22" s="251">
        <v>1</v>
      </c>
      <c r="J22" s="277">
        <v>3745000</v>
      </c>
      <c r="K22" s="306">
        <f>VLOOKUP(H22,'thang luong moi'!B:I,'Bang luong (chaun)'!I22+1,0)</f>
        <v>4694625</v>
      </c>
      <c r="L22" s="315">
        <f t="shared" si="13"/>
        <v>0.20227920227920229</v>
      </c>
      <c r="M22" s="259" t="e">
        <f>VLOOKUP(C22,CC!$C$5:$AJ$67,34,0)</f>
        <v>#N/A</v>
      </c>
      <c r="N22" s="249" t="e">
        <f t="shared" si="21"/>
        <v>#N/A</v>
      </c>
      <c r="O22" s="249" t="e">
        <f>VLOOKUP(C22,CC!$C$5:$AM$67,36,0)</f>
        <v>#N/A</v>
      </c>
      <c r="P22" s="249" t="e">
        <f>VLOOKUP(C22,CC!$C$5:$BS$67,69,0)</f>
        <v>#N/A</v>
      </c>
      <c r="Q22" s="249" t="e">
        <f>VLOOKUP(C22,CC!$C$5:$BT$67,70,0)</f>
        <v>#N/A</v>
      </c>
      <c r="R22" s="249" t="e">
        <f>VLOOKUP(C22,CC!$C$5:$AM$67,37,0)</f>
        <v>#N/A</v>
      </c>
      <c r="S22" s="249" t="e">
        <f>VLOOKUP(C22,CC!$C$5:$AM$67,35,0)</f>
        <v>#N/A</v>
      </c>
      <c r="T22" s="249" t="e">
        <f t="shared" si="22"/>
        <v>#N/A</v>
      </c>
      <c r="U22" s="249"/>
      <c r="V22" s="249">
        <f t="shared" si="14"/>
        <v>0</v>
      </c>
      <c r="W22" s="249">
        <f ca="1">(100%-SUMIF('chuyên cần'!$C$6:$AP$31,'Bang luong (chaun)'!C22,'chuyên cần'!$AP$7:$AP$31))*$W$3</f>
        <v>300000</v>
      </c>
      <c r="X22" s="249"/>
      <c r="Y22" s="249"/>
      <c r="Z22" s="249">
        <v>1255000</v>
      </c>
      <c r="AA22" s="249"/>
      <c r="AB22" s="199">
        <v>1255000</v>
      </c>
      <c r="AC22" s="265" t="e">
        <f t="shared" ca="1" si="15"/>
        <v>#N/A</v>
      </c>
      <c r="AD22" s="203">
        <f t="shared" si="16"/>
        <v>5000000</v>
      </c>
      <c r="AE22" s="204">
        <f t="shared" si="17"/>
        <v>5949625</v>
      </c>
      <c r="AF22" s="204">
        <v>5636650</v>
      </c>
      <c r="AG22" s="265" t="e">
        <f>'ung luong'!#REF!</f>
        <v>#REF!</v>
      </c>
      <c r="AH22" s="265">
        <f t="shared" si="18"/>
        <v>0</v>
      </c>
      <c r="AI22" s="265" t="e">
        <f t="shared" ca="1" si="23"/>
        <v>#N/A</v>
      </c>
      <c r="AJ22" s="265" t="e">
        <f ca="1">ROUND(AI22,-3)</f>
        <v>#N/A</v>
      </c>
      <c r="AK22" s="266"/>
    </row>
    <row r="23" spans="1:39" ht="21" customHeight="1" x14ac:dyDescent="0.2">
      <c r="A23" s="3">
        <f t="shared" si="19"/>
        <v>16</v>
      </c>
      <c r="B23" s="250" t="s">
        <v>586</v>
      </c>
      <c r="C23" s="250" t="s">
        <v>587</v>
      </c>
      <c r="D23" s="250" t="s">
        <v>582</v>
      </c>
      <c r="E23" s="252">
        <v>42389</v>
      </c>
      <c r="F23" s="111">
        <f t="shared" si="20"/>
        <v>0</v>
      </c>
      <c r="G23" s="249">
        <f t="shared" si="1"/>
        <v>3745000</v>
      </c>
      <c r="H23" s="251" t="s">
        <v>210</v>
      </c>
      <c r="I23" s="251">
        <v>1</v>
      </c>
      <c r="J23" s="277">
        <v>3745000</v>
      </c>
      <c r="K23" s="306">
        <f>VLOOKUP(H23,'thang luong moi'!B:I,'Bang luong (chaun)'!I23+1,0)</f>
        <v>5216250</v>
      </c>
      <c r="L23" s="315">
        <f t="shared" si="13"/>
        <v>0.28205128205128205</v>
      </c>
      <c r="M23" s="259" t="e">
        <f>VLOOKUP(C23,CC!$C$5:$AJ$67,34,0)</f>
        <v>#N/A</v>
      </c>
      <c r="N23" s="249" t="e">
        <f t="shared" si="21"/>
        <v>#N/A</v>
      </c>
      <c r="O23" s="249" t="e">
        <f>VLOOKUP(C23,CC!$C$5:$AM$67,36,0)</f>
        <v>#N/A</v>
      </c>
      <c r="P23" s="249" t="e">
        <f>VLOOKUP(C23,CC!$C$5:$BS$67,69,0)</f>
        <v>#N/A</v>
      </c>
      <c r="Q23" s="249" t="e">
        <f>VLOOKUP(C23,CC!$C$5:$BT$67,70,0)</f>
        <v>#N/A</v>
      </c>
      <c r="R23" s="249" t="e">
        <f>VLOOKUP(C23,CC!$C$5:$AM$67,37,0)</f>
        <v>#N/A</v>
      </c>
      <c r="S23" s="249" t="e">
        <f>VLOOKUP(C23,CC!$C$5:$AM$67,35,0)</f>
        <v>#N/A</v>
      </c>
      <c r="T23" s="249" t="e">
        <f t="shared" si="22"/>
        <v>#N/A</v>
      </c>
      <c r="U23" s="249"/>
      <c r="V23" s="249">
        <f t="shared" si="14"/>
        <v>0</v>
      </c>
      <c r="W23" s="249">
        <f ca="1">(100%-SUMIF('chuyên cần'!$C$6:$AP$31,'Bang luong (chaun)'!C23,'chuyên cần'!$AP$7:$AP$31))*$W$3</f>
        <v>300000</v>
      </c>
      <c r="X23" s="249"/>
      <c r="Y23" s="249"/>
      <c r="Z23" s="249">
        <v>1955000</v>
      </c>
      <c r="AA23" s="249"/>
      <c r="AB23" s="199">
        <v>1955000</v>
      </c>
      <c r="AC23" s="265" t="e">
        <f t="shared" ca="1" si="15"/>
        <v>#N/A</v>
      </c>
      <c r="AD23" s="203">
        <f t="shared" si="16"/>
        <v>5700000</v>
      </c>
      <c r="AE23" s="204">
        <f t="shared" si="17"/>
        <v>7171250</v>
      </c>
      <c r="AF23" s="204">
        <v>6823500</v>
      </c>
      <c r="AG23" s="265">
        <f>'ung luong'!F98</f>
        <v>4000000</v>
      </c>
      <c r="AH23" s="265">
        <f t="shared" si="18"/>
        <v>0</v>
      </c>
      <c r="AI23" s="265" t="e">
        <f t="shared" ca="1" si="23"/>
        <v>#N/A</v>
      </c>
      <c r="AJ23" s="265" t="e">
        <f ca="1">ROUND(AI23,-3)</f>
        <v>#N/A</v>
      </c>
      <c r="AK23" s="266"/>
    </row>
    <row r="24" spans="1:39" s="10" customFormat="1" ht="21" hidden="1" customHeight="1" x14ac:dyDescent="0.2">
      <c r="A24" s="23" t="s">
        <v>18</v>
      </c>
      <c r="B24" s="23"/>
      <c r="C24" s="23" t="s">
        <v>19</v>
      </c>
      <c r="D24" s="23"/>
      <c r="E24" s="23"/>
      <c r="F24" s="23"/>
      <c r="G24" s="25"/>
      <c r="H24" s="29"/>
      <c r="I24" s="29"/>
      <c r="J24" s="276"/>
      <c r="K24" s="34"/>
      <c r="L24" s="34"/>
      <c r="M24" s="232"/>
      <c r="N24" s="105"/>
      <c r="O24" s="105"/>
      <c r="P24" s="105"/>
      <c r="Q24" s="105"/>
      <c r="R24" s="105"/>
      <c r="S24" s="105"/>
      <c r="T24" s="34"/>
      <c r="U24" s="34"/>
      <c r="V24" s="174"/>
      <c r="W24" s="34"/>
      <c r="X24" s="34"/>
      <c r="Y24" s="34"/>
      <c r="Z24" s="34">
        <v>0</v>
      </c>
      <c r="AA24" s="34"/>
      <c r="AB24" s="203"/>
      <c r="AC24" s="34" t="e">
        <f ca="1">SUM(AC25:AC40)</f>
        <v>#N/A</v>
      </c>
      <c r="AD24" s="203"/>
      <c r="AE24" s="203"/>
      <c r="AF24" s="203"/>
      <c r="AG24" s="34" t="e">
        <f>SUM(AG25:AG40)</f>
        <v>#REF!</v>
      </c>
      <c r="AH24" s="34">
        <f>SUM(AH25:AH40)</f>
        <v>3155070</v>
      </c>
      <c r="AI24" s="34" t="e">
        <f ca="1">SUM(AI25:AI40)</f>
        <v>#N/A</v>
      </c>
      <c r="AJ24" s="34" t="e">
        <f ca="1">SUM(AJ25:AJ40)</f>
        <v>#N/A</v>
      </c>
      <c r="AK24" s="229"/>
      <c r="AL24" s="220"/>
      <c r="AM24" s="230"/>
    </row>
    <row r="25" spans="1:39" ht="21" customHeight="1" x14ac:dyDescent="0.2">
      <c r="A25" s="3">
        <f>A23+1</f>
        <v>17</v>
      </c>
      <c r="B25" s="3" t="s">
        <v>170</v>
      </c>
      <c r="C25" s="3" t="s">
        <v>67</v>
      </c>
      <c r="D25" s="3" t="s">
        <v>550</v>
      </c>
      <c r="E25" s="110">
        <v>41108</v>
      </c>
      <c r="F25" s="111">
        <f t="shared" si="20"/>
        <v>3</v>
      </c>
      <c r="G25" s="22">
        <f t="shared" si="1"/>
        <v>3745000</v>
      </c>
      <c r="H25" s="28" t="s">
        <v>210</v>
      </c>
      <c r="I25" s="28">
        <v>1</v>
      </c>
      <c r="J25" s="277">
        <v>3745000</v>
      </c>
      <c r="K25" s="306">
        <f>VLOOKUP(H25,'thang luong moi'!B:I,'Bang luong (chaun)'!I25+1,0)</f>
        <v>5216250</v>
      </c>
      <c r="L25" s="315">
        <f t="shared" ref="L25:L40" si="24">(K25-J25)/K25</f>
        <v>0.28205128205128205</v>
      </c>
      <c r="M25" s="77" t="e">
        <f>VLOOKUP(C25,CC!$C$5:$AJ$67,34,0)</f>
        <v>#N/A</v>
      </c>
      <c r="N25" s="22" t="e">
        <f t="shared" si="9"/>
        <v>#N/A</v>
      </c>
      <c r="O25" s="22" t="e">
        <f>VLOOKUP(C25,CC!$C$5:$AM$67,36,0)</f>
        <v>#N/A</v>
      </c>
      <c r="P25" s="22" t="e">
        <f>VLOOKUP(C25,CC!$C$5:$BS$67,69,0)</f>
        <v>#N/A</v>
      </c>
      <c r="Q25" s="22" t="e">
        <f>VLOOKUP(C25,CC!$C$5:$BT$67,70,0)</f>
        <v>#N/A</v>
      </c>
      <c r="R25" s="22" t="e">
        <f>VLOOKUP(C25,CC!$C$5:$AM$67,37,0)</f>
        <v>#N/A</v>
      </c>
      <c r="S25" s="22" t="e">
        <f>VLOOKUP(C25,CC!$C$5:$AM$67,35,0)</f>
        <v>#N/A</v>
      </c>
      <c r="T25" s="22" t="e">
        <f t="shared" si="8"/>
        <v>#N/A</v>
      </c>
      <c r="U25" s="22" t="e">
        <f>VLOOKUP(C25,'Công tổng'!$C$53:$BY$67,66,0)-N25</f>
        <v>#N/A</v>
      </c>
      <c r="V25" s="22">
        <f t="shared" ref="V25:V38" si="25">IF((F25-$V$3)&gt;0,F25%*K25,0)</f>
        <v>156487.5</v>
      </c>
      <c r="W25" s="22">
        <f ca="1">(100%-SUMIF('chuyên cần'!$C$6:$AP$31,'Bang luong (chaun)'!C25,'chuyên cần'!$AP$7:$AP$31))*$W$3</f>
        <v>300000</v>
      </c>
      <c r="X25" s="22"/>
      <c r="Y25" s="22"/>
      <c r="Z25" s="22">
        <v>687650</v>
      </c>
      <c r="AA25" s="22"/>
      <c r="AB25" s="199">
        <v>1100000</v>
      </c>
      <c r="AC25" s="106" t="e">
        <f t="shared" ref="AC25:AC40" ca="1" si="26">T25+V25+W25+Z25+U25</f>
        <v>#N/A</v>
      </c>
      <c r="AD25" s="203">
        <f t="shared" ref="AD25:AD40" si="27">J25+AB25</f>
        <v>4845000</v>
      </c>
      <c r="AE25" s="204">
        <f t="shared" ref="AE25:AE40" si="28">K25+AB25</f>
        <v>6316250</v>
      </c>
      <c r="AF25" s="204">
        <v>5968500</v>
      </c>
      <c r="AG25" s="106">
        <f>'ung luong'!F128</f>
        <v>0</v>
      </c>
      <c r="AH25" s="106">
        <f t="shared" ref="AH25:AH30" si="29">AM25*$AH$2</f>
        <v>351750</v>
      </c>
      <c r="AI25" s="106" t="e">
        <f t="shared" ca="1" si="10"/>
        <v>#N/A</v>
      </c>
      <c r="AJ25" s="106" t="e">
        <f t="shared" ca="1" si="11"/>
        <v>#N/A</v>
      </c>
      <c r="AK25" s="231"/>
      <c r="AM25" s="220">
        <v>3350000</v>
      </c>
    </row>
    <row r="26" spans="1:39" ht="20.25" customHeight="1" x14ac:dyDescent="0.2">
      <c r="A26" s="3">
        <f>A25+1</f>
        <v>18</v>
      </c>
      <c r="B26" s="3" t="s">
        <v>171</v>
      </c>
      <c r="C26" s="3" t="s">
        <v>72</v>
      </c>
      <c r="D26" s="3" t="s">
        <v>551</v>
      </c>
      <c r="E26" s="110">
        <v>41611</v>
      </c>
      <c r="F26" s="111">
        <f t="shared" si="20"/>
        <v>2</v>
      </c>
      <c r="G26" s="22">
        <f t="shared" si="1"/>
        <v>3745000</v>
      </c>
      <c r="H26" s="28" t="s">
        <v>209</v>
      </c>
      <c r="I26" s="28">
        <v>3</v>
      </c>
      <c r="J26" s="277">
        <v>7115500</v>
      </c>
      <c r="K26" s="306">
        <f>VLOOKUP(H26,'thang luong moi'!B:I,'Bang luong (chaun)'!I26+1,0)</f>
        <v>8025000</v>
      </c>
      <c r="L26" s="315">
        <f t="shared" si="24"/>
        <v>0.11333333333333333</v>
      </c>
      <c r="M26" s="77" t="e">
        <f>VLOOKUP(C26,CC!$C$5:$AJ$67,34,0)</f>
        <v>#N/A</v>
      </c>
      <c r="N26" s="22" t="e">
        <f t="shared" si="9"/>
        <v>#N/A</v>
      </c>
      <c r="O26" s="22" t="e">
        <f>VLOOKUP(C26,CC!$C$5:$AM$67,36,0)</f>
        <v>#N/A</v>
      </c>
      <c r="P26" s="22" t="e">
        <f>VLOOKUP(C26,CC!$C$5:$BS$67,69,0)</f>
        <v>#N/A</v>
      </c>
      <c r="Q26" s="22" t="e">
        <f>VLOOKUP(C26,CC!$C$5:$BT$67,70,0)</f>
        <v>#N/A</v>
      </c>
      <c r="R26" s="22" t="e">
        <f>VLOOKUP(C26,CC!$C$5:$AM$67,37,0)</f>
        <v>#N/A</v>
      </c>
      <c r="S26" s="22" t="e">
        <f>VLOOKUP(C26,CC!$C$5:$AM$67,35,0)</f>
        <v>#N/A</v>
      </c>
      <c r="T26" s="22" t="e">
        <f t="shared" si="8"/>
        <v>#N/A</v>
      </c>
      <c r="U26" s="249"/>
      <c r="V26" s="22">
        <f t="shared" si="25"/>
        <v>160500</v>
      </c>
      <c r="W26" s="22">
        <f ca="1">(100%-SUMIF('chuyên cần'!$C$6:$AP$31,'Bang luong (chaun)'!C26,'chuyên cần'!$AP$7:$AP$31))*$W$3</f>
        <v>300000</v>
      </c>
      <c r="X26" s="22"/>
      <c r="Y26" s="22"/>
      <c r="Z26" s="22">
        <v>1307690</v>
      </c>
      <c r="AA26" s="22"/>
      <c r="AB26" s="199">
        <v>1750000</v>
      </c>
      <c r="AC26" s="106" t="e">
        <f t="shared" ca="1" si="26"/>
        <v>#N/A</v>
      </c>
      <c r="AD26" s="203">
        <f t="shared" si="27"/>
        <v>8865500</v>
      </c>
      <c r="AE26" s="204">
        <f t="shared" si="28"/>
        <v>9775000</v>
      </c>
      <c r="AF26" s="204">
        <v>9240000</v>
      </c>
      <c r="AG26" s="106" t="e">
        <f>'ung luong'!#REF!</f>
        <v>#REF!</v>
      </c>
      <c r="AH26" s="106">
        <f t="shared" si="29"/>
        <v>351750</v>
      </c>
      <c r="AI26" s="106" t="e">
        <f t="shared" ca="1" si="10"/>
        <v>#N/A</v>
      </c>
      <c r="AJ26" s="106" t="e">
        <f t="shared" ca="1" si="11"/>
        <v>#N/A</v>
      </c>
      <c r="AK26" s="231"/>
      <c r="AM26" s="220">
        <v>3350000</v>
      </c>
    </row>
    <row r="27" spans="1:39" ht="21" customHeight="1" x14ac:dyDescent="0.2">
      <c r="A27" s="3">
        <f t="shared" ref="A27:A40" si="30">A26+1</f>
        <v>19</v>
      </c>
      <c r="B27" s="3" t="s">
        <v>173</v>
      </c>
      <c r="C27" s="3" t="s">
        <v>68</v>
      </c>
      <c r="D27" s="3" t="s">
        <v>206</v>
      </c>
      <c r="E27" s="110">
        <v>41739</v>
      </c>
      <c r="F27" s="111">
        <f t="shared" si="20"/>
        <v>1</v>
      </c>
      <c r="G27" s="22">
        <f t="shared" si="1"/>
        <v>3745000</v>
      </c>
      <c r="H27" s="28" t="s">
        <v>661</v>
      </c>
      <c r="I27" s="28">
        <v>2</v>
      </c>
      <c r="J27" s="277">
        <v>3745000</v>
      </c>
      <c r="K27" s="306">
        <f>VLOOKUP(H27,'thang luong moi'!B:I,'Bang luong (chaun)'!I27+1,0)</f>
        <v>4694625.0000000009</v>
      </c>
      <c r="L27" s="315">
        <f t="shared" si="24"/>
        <v>0.20227920227920243</v>
      </c>
      <c r="M27" s="77" t="e">
        <f>VLOOKUP(C27,CC!$C$5:$AJ$67,34,0)</f>
        <v>#N/A</v>
      </c>
      <c r="N27" s="22" t="e">
        <f t="shared" si="9"/>
        <v>#N/A</v>
      </c>
      <c r="O27" s="22" t="e">
        <f>VLOOKUP(C27,CC!$C$5:$AM$67,36,0)</f>
        <v>#N/A</v>
      </c>
      <c r="P27" s="22" t="e">
        <f>VLOOKUP(C27,CC!$C$5:$BS$67,69,0)</f>
        <v>#N/A</v>
      </c>
      <c r="Q27" s="22" t="e">
        <f>VLOOKUP(C27,CC!$C$5:$BT$67,70,0)</f>
        <v>#N/A</v>
      </c>
      <c r="R27" s="22" t="e">
        <f>VLOOKUP(C27,CC!$C$5:$AM$67,37,0)</f>
        <v>#N/A</v>
      </c>
      <c r="S27" s="76" t="e">
        <f>VLOOKUP(C27,CC!$C$5:$AM$67,35,0)</f>
        <v>#N/A</v>
      </c>
      <c r="T27" s="22" t="e">
        <f t="shared" si="8"/>
        <v>#N/A</v>
      </c>
      <c r="U27" s="22" t="e">
        <f>VLOOKUP(C27,'Công tổng'!$C$53:$BY$67,66,0)-N27</f>
        <v>#N/A</v>
      </c>
      <c r="V27" s="22">
        <f t="shared" si="25"/>
        <v>0</v>
      </c>
      <c r="W27" s="22">
        <f ca="1">(100%-SUMIF('chuyên cần'!$C$6:$AP$31,'Bang luong (chaun)'!C27,'chuyên cần'!$AP$7:$AP$31))*$W$3</f>
        <v>300000</v>
      </c>
      <c r="X27" s="22"/>
      <c r="Y27" s="22"/>
      <c r="Z27" s="22">
        <v>0</v>
      </c>
      <c r="AA27" s="22"/>
      <c r="AB27" s="199">
        <v>75000</v>
      </c>
      <c r="AC27" s="106" t="e">
        <f t="shared" ca="1" si="26"/>
        <v>#N/A</v>
      </c>
      <c r="AD27" s="203">
        <f t="shared" si="27"/>
        <v>3820000</v>
      </c>
      <c r="AE27" s="204">
        <f t="shared" si="28"/>
        <v>4769625.0000000009</v>
      </c>
      <c r="AF27" s="204">
        <v>4456650.0000000009</v>
      </c>
      <c r="AG27" s="106" t="e">
        <f>'ung luong'!#REF!</f>
        <v>#REF!</v>
      </c>
      <c r="AH27" s="106">
        <f t="shared" si="29"/>
        <v>351750</v>
      </c>
      <c r="AI27" s="106" t="e">
        <f t="shared" ca="1" si="10"/>
        <v>#N/A</v>
      </c>
      <c r="AJ27" s="106" t="e">
        <f t="shared" ca="1" si="11"/>
        <v>#N/A</v>
      </c>
      <c r="AK27" s="231"/>
      <c r="AM27" s="220">
        <v>3350000</v>
      </c>
    </row>
    <row r="28" spans="1:39" ht="21" customHeight="1" x14ac:dyDescent="0.2">
      <c r="A28" s="3">
        <f t="shared" si="30"/>
        <v>20</v>
      </c>
      <c r="B28" s="3" t="s">
        <v>174</v>
      </c>
      <c r="C28" s="3" t="s">
        <v>74</v>
      </c>
      <c r="D28" s="3" t="s">
        <v>206</v>
      </c>
      <c r="E28" s="110">
        <v>37257</v>
      </c>
      <c r="F28" s="111">
        <f t="shared" si="20"/>
        <v>14</v>
      </c>
      <c r="G28" s="22">
        <f t="shared" si="1"/>
        <v>3745000</v>
      </c>
      <c r="H28" s="28" t="s">
        <v>661</v>
      </c>
      <c r="I28" s="28">
        <v>2</v>
      </c>
      <c r="J28" s="277">
        <v>4119500.0000000009</v>
      </c>
      <c r="K28" s="306">
        <f>VLOOKUP(H28,'thang luong moi'!B:I,'Bang luong (chaun)'!I28+1,0)</f>
        <v>4694625.0000000009</v>
      </c>
      <c r="L28" s="315">
        <f t="shared" si="24"/>
        <v>0.12250712250712248</v>
      </c>
      <c r="M28" s="77">
        <f>VLOOKUP(C28,CC!$C$5:$AJ$67,34,0)</f>
        <v>26</v>
      </c>
      <c r="N28" s="22">
        <f t="shared" si="9"/>
        <v>4694625.0000000009</v>
      </c>
      <c r="O28" s="22">
        <f>VLOOKUP(C28,CC!$C$5:$AM$67,36,0)</f>
        <v>0</v>
      </c>
      <c r="P28" s="22">
        <f>VLOOKUP(C28,CC!$C$5:$BS$67,69,0)</f>
        <v>33.5</v>
      </c>
      <c r="Q28" s="22">
        <f>VLOOKUP(C28,CC!$C$5:$BT$67,70,0)</f>
        <v>16</v>
      </c>
      <c r="R28" s="22">
        <f>VLOOKUP(C28,CC!$C$5:$AM$67,37,0)</f>
        <v>1</v>
      </c>
      <c r="S28" s="22">
        <f>VLOOKUP(C28,CC!$C$5:$AM$67,35,0)</f>
        <v>0</v>
      </c>
      <c r="T28" s="22">
        <f t="shared" si="8"/>
        <v>6731595.7031250009</v>
      </c>
      <c r="U28" s="22" t="e">
        <f>VLOOKUP(C28,'Công tổng'!$C$53:$BY$67,66,0)-N28</f>
        <v>#N/A</v>
      </c>
      <c r="V28" s="22">
        <f t="shared" si="25"/>
        <v>657247.50000000023</v>
      </c>
      <c r="W28" s="22">
        <f ca="1">(100%-SUMIF('chuyên cần'!$C$6:$AP$31,'Bang luong (chaun)'!C28,'chuyên cần'!$AP$7:$AP$31))*$W$3</f>
        <v>300000</v>
      </c>
      <c r="X28" s="22"/>
      <c r="Y28" s="22"/>
      <c r="Z28" s="22"/>
      <c r="AA28" s="22"/>
      <c r="AB28" s="199">
        <v>726730.00000000023</v>
      </c>
      <c r="AC28" s="265" t="e">
        <f t="shared" ca="1" si="26"/>
        <v>#N/A</v>
      </c>
      <c r="AD28" s="203">
        <f t="shared" si="27"/>
        <v>4846230.0000000009</v>
      </c>
      <c r="AE28" s="204">
        <f t="shared" si="28"/>
        <v>5421355.0000000009</v>
      </c>
      <c r="AF28" s="204">
        <v>5108380.0000000009</v>
      </c>
      <c r="AG28" s="106" t="e">
        <f>'ung luong'!#REF!</f>
        <v>#REF!</v>
      </c>
      <c r="AH28" s="106">
        <f t="shared" si="29"/>
        <v>351750</v>
      </c>
      <c r="AI28" s="106" t="e">
        <f t="shared" ca="1" si="10"/>
        <v>#N/A</v>
      </c>
      <c r="AJ28" s="265" t="e">
        <f t="shared" ca="1" si="11"/>
        <v>#N/A</v>
      </c>
      <c r="AK28" s="231"/>
      <c r="AM28" s="220">
        <v>3350000</v>
      </c>
    </row>
    <row r="29" spans="1:39" ht="21" customHeight="1" x14ac:dyDescent="0.2">
      <c r="A29" s="3">
        <f t="shared" si="30"/>
        <v>21</v>
      </c>
      <c r="B29" s="3" t="s">
        <v>175</v>
      </c>
      <c r="C29" s="3" t="s">
        <v>368</v>
      </c>
      <c r="D29" s="3" t="s">
        <v>206</v>
      </c>
      <c r="E29" s="110">
        <v>37622</v>
      </c>
      <c r="F29" s="111">
        <f t="shared" si="20"/>
        <v>13</v>
      </c>
      <c r="G29" s="22">
        <f t="shared" si="1"/>
        <v>3745000</v>
      </c>
      <c r="H29" s="28" t="s">
        <v>661</v>
      </c>
      <c r="I29" s="28">
        <v>2</v>
      </c>
      <c r="J29" s="277">
        <v>4119500.0000000009</v>
      </c>
      <c r="K29" s="306">
        <f>VLOOKUP(H29,'thang luong moi'!B:I,'Bang luong (chaun)'!I29+1,0)</f>
        <v>4694625.0000000009</v>
      </c>
      <c r="L29" s="315">
        <f t="shared" si="24"/>
        <v>0.12250712250712248</v>
      </c>
      <c r="M29" s="77" t="e">
        <f>VLOOKUP(C29,CC!$C$5:$AJ$67,34,0)</f>
        <v>#N/A</v>
      </c>
      <c r="N29" s="22" t="e">
        <f t="shared" si="9"/>
        <v>#N/A</v>
      </c>
      <c r="O29" s="22" t="e">
        <f>VLOOKUP(C29,CC!$C$5:$AM$67,36,0)</f>
        <v>#N/A</v>
      </c>
      <c r="P29" s="22" t="e">
        <f>VLOOKUP(C29,CC!$C$5:$BS$67,69,0)</f>
        <v>#N/A</v>
      </c>
      <c r="Q29" s="22" t="e">
        <f>VLOOKUP(C29,CC!$C$5:$BT$67,70,0)</f>
        <v>#N/A</v>
      </c>
      <c r="R29" s="22" t="e">
        <f>VLOOKUP(C29,CC!$C$5:$AM$67,37,0)</f>
        <v>#N/A</v>
      </c>
      <c r="S29" s="22" t="e">
        <f>VLOOKUP(C29,CC!$C$5:$AM$67,35,0)</f>
        <v>#N/A</v>
      </c>
      <c r="T29" s="22" t="e">
        <f t="shared" si="8"/>
        <v>#N/A</v>
      </c>
      <c r="U29" s="22" t="e">
        <f>VLOOKUP(C29,'Công tổng'!$C$53:$BY$67,66,0)-N29</f>
        <v>#N/A</v>
      </c>
      <c r="V29" s="22">
        <f t="shared" si="25"/>
        <v>610301.25000000012</v>
      </c>
      <c r="W29" s="22">
        <f ca="1">(100%-SUMIF('chuyên cần'!$C$6:$AP$31,'Bang luong (chaun)'!C29,'chuyên cần'!$AP$7:$AP$31))*$W$3</f>
        <v>75000</v>
      </c>
      <c r="X29" s="22"/>
      <c r="Y29" s="22"/>
      <c r="Z29" s="22"/>
      <c r="AA29" s="22"/>
      <c r="AB29" s="199">
        <v>610535.00000000012</v>
      </c>
      <c r="AC29" s="265" t="e">
        <f t="shared" ca="1" si="26"/>
        <v>#N/A</v>
      </c>
      <c r="AD29" s="203">
        <f t="shared" si="27"/>
        <v>4730035.0000000009</v>
      </c>
      <c r="AE29" s="204">
        <f t="shared" si="28"/>
        <v>5305160.0000000009</v>
      </c>
      <c r="AF29" s="204">
        <v>4992185.0000000009</v>
      </c>
      <c r="AG29" s="106">
        <f>'ung luong'!F82</f>
        <v>3000000</v>
      </c>
      <c r="AH29" s="106">
        <f t="shared" si="29"/>
        <v>351750</v>
      </c>
      <c r="AI29" s="106" t="e">
        <f t="shared" ca="1" si="10"/>
        <v>#N/A</v>
      </c>
      <c r="AJ29" s="265" t="e">
        <f t="shared" ca="1" si="11"/>
        <v>#N/A</v>
      </c>
      <c r="AK29" s="231"/>
      <c r="AM29" s="220">
        <v>3350000</v>
      </c>
    </row>
    <row r="30" spans="1:39" ht="21" customHeight="1" x14ac:dyDescent="0.2">
      <c r="A30" s="3">
        <f t="shared" si="30"/>
        <v>22</v>
      </c>
      <c r="B30" s="3" t="s">
        <v>176</v>
      </c>
      <c r="C30" s="3" t="s">
        <v>69</v>
      </c>
      <c r="D30" s="3" t="s">
        <v>206</v>
      </c>
      <c r="E30" s="110">
        <v>40596</v>
      </c>
      <c r="F30" s="111">
        <f t="shared" si="20"/>
        <v>5</v>
      </c>
      <c r="G30" s="22">
        <f t="shared" si="1"/>
        <v>3745000</v>
      </c>
      <c r="H30" s="28" t="s">
        <v>661</v>
      </c>
      <c r="I30" s="28">
        <v>1</v>
      </c>
      <c r="J30" s="277">
        <v>3745000</v>
      </c>
      <c r="K30" s="306">
        <f>VLOOKUP(H30,'thang luong moi'!B:I,'Bang luong (chaun)'!I30+1,0)</f>
        <v>4413750</v>
      </c>
      <c r="L30" s="315">
        <f t="shared" si="24"/>
        <v>0.15151515151515152</v>
      </c>
      <c r="M30" s="77" t="e">
        <f>VLOOKUP(C30,CC!$C$5:$AJ$67,34,0)</f>
        <v>#N/A</v>
      </c>
      <c r="N30" s="22" t="e">
        <f t="shared" si="9"/>
        <v>#N/A</v>
      </c>
      <c r="O30" s="22" t="e">
        <f>VLOOKUP(C30,CC!$C$5:$AM$67,36,0)</f>
        <v>#N/A</v>
      </c>
      <c r="P30" s="22" t="e">
        <f>VLOOKUP(C30,CC!$C$5:$BS$67,69,0)</f>
        <v>#N/A</v>
      </c>
      <c r="Q30" s="22" t="e">
        <f>VLOOKUP(C30,CC!$C$5:$BT$67,70,0)</f>
        <v>#N/A</v>
      </c>
      <c r="R30" s="22" t="e">
        <f>VLOOKUP(C30,CC!$C$5:$AM$67,37,0)</f>
        <v>#N/A</v>
      </c>
      <c r="S30" s="22" t="e">
        <f>VLOOKUP(C30,CC!$C$5:$AM$67,35,0)</f>
        <v>#N/A</v>
      </c>
      <c r="T30" s="22" t="e">
        <f t="shared" si="8"/>
        <v>#N/A</v>
      </c>
      <c r="U30" s="22" t="e">
        <f>VLOOKUP(C30,'Công tổng'!$C$53:$BY$67,66,0)-N30</f>
        <v>#N/A</v>
      </c>
      <c r="V30" s="22">
        <f t="shared" si="25"/>
        <v>220687.5</v>
      </c>
      <c r="W30" s="22">
        <f ca="1">(100%-SUMIF('chuyên cần'!$C$6:$AP$31,'Bang luong (chaun)'!C30,'chuyên cần'!$AP$7:$AP$31))*$W$3</f>
        <v>300000</v>
      </c>
      <c r="X30" s="22"/>
      <c r="Y30" s="22"/>
      <c r="Z30" s="22"/>
      <c r="AA30" s="22"/>
      <c r="AB30" s="199">
        <v>487250</v>
      </c>
      <c r="AC30" s="106" t="e">
        <f t="shared" ca="1" si="26"/>
        <v>#N/A</v>
      </c>
      <c r="AD30" s="203">
        <f t="shared" si="27"/>
        <v>4232250</v>
      </c>
      <c r="AE30" s="204">
        <f t="shared" si="28"/>
        <v>4901000</v>
      </c>
      <c r="AF30" s="204">
        <v>4606750</v>
      </c>
      <c r="AG30" s="106" t="e">
        <f>'ung luong'!#REF!</f>
        <v>#REF!</v>
      </c>
      <c r="AH30" s="106">
        <f t="shared" si="29"/>
        <v>348285</v>
      </c>
      <c r="AI30" s="106" t="e">
        <f t="shared" ca="1" si="10"/>
        <v>#N/A</v>
      </c>
      <c r="AJ30" s="106" t="e">
        <f t="shared" ca="1" si="11"/>
        <v>#N/A</v>
      </c>
      <c r="AK30" s="231"/>
      <c r="AM30" s="220">
        <v>3317000</v>
      </c>
    </row>
    <row r="31" spans="1:39" s="240" customFormat="1" ht="21" customHeight="1" x14ac:dyDescent="0.2">
      <c r="A31" s="3">
        <f t="shared" si="30"/>
        <v>23</v>
      </c>
      <c r="B31" s="3" t="s">
        <v>177</v>
      </c>
      <c r="C31" s="3" t="s">
        <v>75</v>
      </c>
      <c r="D31" s="3" t="s">
        <v>206</v>
      </c>
      <c r="E31" s="110">
        <v>41321</v>
      </c>
      <c r="F31" s="111">
        <f t="shared" si="20"/>
        <v>3</v>
      </c>
      <c r="G31" s="22">
        <f t="shared" si="1"/>
        <v>3745000</v>
      </c>
      <c r="H31" s="28" t="s">
        <v>661</v>
      </c>
      <c r="I31" s="28">
        <v>1</v>
      </c>
      <c r="J31" s="277">
        <v>3745000</v>
      </c>
      <c r="K31" s="306">
        <f>VLOOKUP(H31,'thang luong moi'!B:I,'Bang luong (chaun)'!I31+1,0)</f>
        <v>4413750</v>
      </c>
      <c r="L31" s="315">
        <f t="shared" si="24"/>
        <v>0.15151515151515152</v>
      </c>
      <c r="M31" s="77">
        <f>VLOOKUP(C31,CC!$C$5:$AJ$67,34,0)</f>
        <v>5</v>
      </c>
      <c r="N31" s="22">
        <f t="shared" si="9"/>
        <v>848798.07692307688</v>
      </c>
      <c r="O31" s="22">
        <f>VLOOKUP(C31,CC!$C$5:$AM$67,36,0)</f>
        <v>21</v>
      </c>
      <c r="P31" s="22">
        <f>VLOOKUP(C31,CC!$C$5:$BS$67,69,0)</f>
        <v>2</v>
      </c>
      <c r="Q31" s="22">
        <f>VLOOKUP(C31,CC!$C$5:$BT$67,70,0)</f>
        <v>8</v>
      </c>
      <c r="R31" s="22">
        <f>VLOOKUP(C31,CC!$C$5:$AM$67,37,0)</f>
        <v>1</v>
      </c>
      <c r="S31" s="22">
        <f>VLOOKUP(C31,CC!$C$5:$AM$67,35,0)</f>
        <v>0</v>
      </c>
      <c r="T31" s="22">
        <f t="shared" si="8"/>
        <v>4986688.701923077</v>
      </c>
      <c r="U31" s="22" t="e">
        <f>VLOOKUP(C31,'Công tổng'!$C$53:$BY$67,66,0)-N31</f>
        <v>#N/A</v>
      </c>
      <c r="V31" s="22">
        <f t="shared" si="25"/>
        <v>132412.5</v>
      </c>
      <c r="W31" s="22">
        <f ca="1">(100%-SUMIF('chuyên cần'!$C$6:$AP$31,'Bang luong (chaun)'!C31,'chuyên cần'!$AP$7:$AP$31))*$W$3</f>
        <v>300000</v>
      </c>
      <c r="X31" s="22"/>
      <c r="Y31" s="22"/>
      <c r="Z31" s="22"/>
      <c r="AA31" s="22"/>
      <c r="AB31" s="199">
        <v>412350</v>
      </c>
      <c r="AC31" s="106" t="e">
        <f t="shared" ca="1" si="26"/>
        <v>#N/A</v>
      </c>
      <c r="AD31" s="203">
        <f t="shared" si="27"/>
        <v>4157350</v>
      </c>
      <c r="AE31" s="204">
        <f t="shared" si="28"/>
        <v>4826100</v>
      </c>
      <c r="AF31" s="204">
        <v>4531850</v>
      </c>
      <c r="AG31" s="106" t="e">
        <f>'ung luong'!#REF!</f>
        <v>#REF!</v>
      </c>
      <c r="AH31" s="106">
        <v>348000</v>
      </c>
      <c r="AI31" s="106" t="e">
        <f t="shared" ca="1" si="10"/>
        <v>#N/A</v>
      </c>
      <c r="AJ31" s="106" t="e">
        <f t="shared" ca="1" si="11"/>
        <v>#N/A</v>
      </c>
      <c r="AK31" s="238"/>
      <c r="AL31" s="239"/>
      <c r="AM31" s="239">
        <v>3317000</v>
      </c>
    </row>
    <row r="32" spans="1:39" ht="21" customHeight="1" x14ac:dyDescent="0.2">
      <c r="A32" s="3">
        <f t="shared" si="30"/>
        <v>24</v>
      </c>
      <c r="B32" s="3" t="s">
        <v>178</v>
      </c>
      <c r="C32" s="3" t="s">
        <v>76</v>
      </c>
      <c r="D32" s="3" t="s">
        <v>206</v>
      </c>
      <c r="E32" s="110">
        <v>41589</v>
      </c>
      <c r="F32" s="111">
        <f t="shared" si="20"/>
        <v>2</v>
      </c>
      <c r="G32" s="22">
        <f t="shared" si="1"/>
        <v>3745000</v>
      </c>
      <c r="H32" s="28" t="s">
        <v>661</v>
      </c>
      <c r="I32" s="28">
        <v>1</v>
      </c>
      <c r="J32" s="277">
        <v>3745000</v>
      </c>
      <c r="K32" s="306">
        <f>VLOOKUP(H32,'thang luong moi'!B:I,'Bang luong (chaun)'!I32+1,0)</f>
        <v>4413750</v>
      </c>
      <c r="L32" s="315">
        <f t="shared" si="24"/>
        <v>0.15151515151515152</v>
      </c>
      <c r="M32" s="77" t="e">
        <f>VLOOKUP(C32,CC!$C$5:$AJ$67,34,0)</f>
        <v>#N/A</v>
      </c>
      <c r="N32" s="22" t="e">
        <f t="shared" si="9"/>
        <v>#N/A</v>
      </c>
      <c r="O32" s="22" t="e">
        <f>VLOOKUP(C32,CC!$C$5:$AM$67,36,0)</f>
        <v>#N/A</v>
      </c>
      <c r="P32" s="22" t="e">
        <f>VLOOKUP(C32,CC!$C$5:$BS$67,69,0)</f>
        <v>#N/A</v>
      </c>
      <c r="Q32" s="22" t="e">
        <f>VLOOKUP(C32,CC!$C$5:$BT$67,70,0)</f>
        <v>#N/A</v>
      </c>
      <c r="R32" s="22" t="e">
        <f>VLOOKUP(C32,CC!$C$5:$AM$67,37,0)</f>
        <v>#N/A</v>
      </c>
      <c r="S32" s="22" t="e">
        <f>VLOOKUP(C32,CC!$C$5:$AM$67,35,0)</f>
        <v>#N/A</v>
      </c>
      <c r="T32" s="22" t="e">
        <f t="shared" si="8"/>
        <v>#N/A</v>
      </c>
      <c r="U32" s="22" t="e">
        <f>VLOOKUP(C32,'Công tổng'!$C$53:$BY$67,66,0)-N32</f>
        <v>#N/A</v>
      </c>
      <c r="V32" s="22">
        <f t="shared" si="25"/>
        <v>88275</v>
      </c>
      <c r="W32" s="22">
        <f ca="1">(100%-SUMIF('chuyên cần'!$C$6:$AP$31,'Bang luong (chaun)'!C32,'chuyên cần'!$AP$7:$AP$31))*$W$3</f>
        <v>300000</v>
      </c>
      <c r="X32" s="22"/>
      <c r="Y32" s="22"/>
      <c r="Z32" s="22"/>
      <c r="AA32" s="22"/>
      <c r="AB32" s="199">
        <v>149900</v>
      </c>
      <c r="AC32" s="106" t="e">
        <f t="shared" ca="1" si="26"/>
        <v>#N/A</v>
      </c>
      <c r="AD32" s="203">
        <f t="shared" si="27"/>
        <v>3894900</v>
      </c>
      <c r="AE32" s="204">
        <f t="shared" si="28"/>
        <v>4563650</v>
      </c>
      <c r="AF32" s="204">
        <v>4269400</v>
      </c>
      <c r="AG32" s="106" t="e">
        <f>'ung luong'!#REF!</f>
        <v>#REF!</v>
      </c>
      <c r="AH32" s="106">
        <f t="shared" ref="AH32:AH38" si="31">AM32*$AH$2</f>
        <v>348285</v>
      </c>
      <c r="AI32" s="106" t="e">
        <f t="shared" ca="1" si="10"/>
        <v>#N/A</v>
      </c>
      <c r="AJ32" s="106" t="e">
        <f t="shared" ca="1" si="11"/>
        <v>#N/A</v>
      </c>
      <c r="AK32" s="231"/>
      <c r="AM32" s="220">
        <v>3317000</v>
      </c>
    </row>
    <row r="33" spans="1:39" ht="21" customHeight="1" x14ac:dyDescent="0.2">
      <c r="A33" s="3">
        <f t="shared" si="30"/>
        <v>25</v>
      </c>
      <c r="B33" s="3" t="s">
        <v>179</v>
      </c>
      <c r="C33" s="3" t="s">
        <v>70</v>
      </c>
      <c r="D33" s="3" t="s">
        <v>206</v>
      </c>
      <c r="E33" s="110">
        <v>38838</v>
      </c>
      <c r="F33" s="111">
        <f t="shared" si="20"/>
        <v>9</v>
      </c>
      <c r="G33" s="22">
        <f t="shared" si="1"/>
        <v>3745000</v>
      </c>
      <c r="H33" s="28" t="s">
        <v>659</v>
      </c>
      <c r="I33" s="28">
        <v>5</v>
      </c>
      <c r="J33" s="277">
        <v>4868500</v>
      </c>
      <c r="K33" s="306">
        <f>VLOOKUP(H33,'thang luong moi'!B:I,'Bang luong (chaun)'!I33+1,0)</f>
        <v>5497125</v>
      </c>
      <c r="L33" s="315">
        <f t="shared" si="24"/>
        <v>0.11435523114355231</v>
      </c>
      <c r="M33" s="77">
        <f>VLOOKUP(C33,CC!$C$5:$AJ$67,34,0)</f>
        <v>26</v>
      </c>
      <c r="N33" s="22">
        <f t="shared" si="9"/>
        <v>5497125</v>
      </c>
      <c r="O33" s="22">
        <f>VLOOKUP(C33,CC!$C$5:$AM$67,36,0)</f>
        <v>0</v>
      </c>
      <c r="P33" s="22">
        <f>VLOOKUP(C33,CC!$C$5:$BS$67,69,0)</f>
        <v>24</v>
      </c>
      <c r="Q33" s="22">
        <f>VLOOKUP(C33,CC!$C$5:$BT$67,70,0)</f>
        <v>16</v>
      </c>
      <c r="R33" s="22">
        <f>VLOOKUP(C33,CC!$C$5:$AM$67,37,0)</f>
        <v>1</v>
      </c>
      <c r="S33" s="22">
        <f>VLOOKUP(C33,CC!$C$5:$AM$67,35,0)</f>
        <v>0</v>
      </c>
      <c r="T33" s="22">
        <f t="shared" si="8"/>
        <v>7505689.9038461549</v>
      </c>
      <c r="U33" s="249"/>
      <c r="V33" s="22">
        <f t="shared" si="25"/>
        <v>494741.25</v>
      </c>
      <c r="W33" s="22">
        <f ca="1">(100%-SUMIF('chuyên cần'!$C$6:$AP$31,'Bang luong (chaun)'!C33,'chuyên cần'!$AP$7:$AP$31))*$W$3</f>
        <v>300000</v>
      </c>
      <c r="X33" s="22"/>
      <c r="Y33" s="22"/>
      <c r="Z33" s="22">
        <v>200000</v>
      </c>
      <c r="AA33" s="22"/>
      <c r="AB33" s="199">
        <v>938165</v>
      </c>
      <c r="AC33" s="106">
        <f t="shared" ca="1" si="26"/>
        <v>8500431.1538461559</v>
      </c>
      <c r="AD33" s="203">
        <f t="shared" si="27"/>
        <v>5806665</v>
      </c>
      <c r="AE33" s="204">
        <f t="shared" si="28"/>
        <v>6435290</v>
      </c>
      <c r="AF33" s="204">
        <v>6068815</v>
      </c>
      <c r="AG33" s="106" t="e">
        <f>'ung luong'!#REF!</f>
        <v>#REF!</v>
      </c>
      <c r="AH33" s="106">
        <f t="shared" si="31"/>
        <v>351750</v>
      </c>
      <c r="AI33" s="106" t="e">
        <f t="shared" ca="1" si="10"/>
        <v>#REF!</v>
      </c>
      <c r="AJ33" s="106" t="e">
        <f t="shared" ca="1" si="11"/>
        <v>#REF!</v>
      </c>
      <c r="AK33" s="231"/>
      <c r="AM33" s="220">
        <v>3350000</v>
      </c>
    </row>
    <row r="34" spans="1:39" ht="21" customHeight="1" x14ac:dyDescent="0.2">
      <c r="A34" s="3">
        <f t="shared" si="30"/>
        <v>26</v>
      </c>
      <c r="B34" s="3" t="s">
        <v>180</v>
      </c>
      <c r="C34" s="3" t="s">
        <v>77</v>
      </c>
      <c r="D34" s="3" t="s">
        <v>206</v>
      </c>
      <c r="E34" s="110">
        <v>41852</v>
      </c>
      <c r="F34" s="111">
        <f t="shared" si="20"/>
        <v>1</v>
      </c>
      <c r="G34" s="22">
        <f t="shared" si="1"/>
        <v>3745000</v>
      </c>
      <c r="H34" s="28" t="s">
        <v>661</v>
      </c>
      <c r="I34" s="28">
        <v>1</v>
      </c>
      <c r="J34" s="277">
        <v>3745000</v>
      </c>
      <c r="K34" s="306">
        <f>VLOOKUP(H34,'thang luong moi'!B:I,'Bang luong (chaun)'!I34+1,0)</f>
        <v>4413750</v>
      </c>
      <c r="L34" s="315">
        <f t="shared" si="24"/>
        <v>0.15151515151515152</v>
      </c>
      <c r="M34" s="77">
        <f>VLOOKUP(C34,CC!$C$5:$AJ$67,34,0)</f>
        <v>25</v>
      </c>
      <c r="N34" s="22">
        <f t="shared" si="9"/>
        <v>4243990.384615384</v>
      </c>
      <c r="O34" s="22">
        <f>VLOOKUP(C34,CC!$C$5:$AM$67,36,0)</f>
        <v>0</v>
      </c>
      <c r="P34" s="22">
        <f>VLOOKUP(C34,CC!$C$5:$BS$67,69,0)</f>
        <v>30</v>
      </c>
      <c r="Q34" s="22">
        <f>VLOOKUP(C34,CC!$C$5:$BT$67,70,0)</f>
        <v>24</v>
      </c>
      <c r="R34" s="22">
        <f>VLOOKUP(C34,CC!$C$5:$AM$67,37,0)</f>
        <v>1</v>
      </c>
      <c r="S34" s="22">
        <f>VLOOKUP(C34,CC!$C$5:$AM$67,35,0)</f>
        <v>0</v>
      </c>
      <c r="T34" s="22">
        <f t="shared" si="8"/>
        <v>6387205.5288461531</v>
      </c>
      <c r="U34" s="22" t="e">
        <f>VLOOKUP(C34,'Công tổng'!$C$53:$BY$67,66,0)-N34</f>
        <v>#N/A</v>
      </c>
      <c r="V34" s="22">
        <f t="shared" si="25"/>
        <v>0</v>
      </c>
      <c r="W34" s="22">
        <f ca="1">(100%-SUMIF('chuyên cần'!$C$6:$AP$31,'Bang luong (chaun)'!C34,'chuyên cần'!$AP$7:$AP$31))*$W$3</f>
        <v>300000</v>
      </c>
      <c r="X34" s="22"/>
      <c r="Y34" s="22"/>
      <c r="Z34" s="22">
        <v>0</v>
      </c>
      <c r="AA34" s="22"/>
      <c r="AB34" s="199">
        <v>0</v>
      </c>
      <c r="AC34" s="106" t="e">
        <f t="shared" ca="1" si="26"/>
        <v>#N/A</v>
      </c>
      <c r="AD34" s="203">
        <f t="shared" si="27"/>
        <v>3745000</v>
      </c>
      <c r="AE34" s="204">
        <f t="shared" si="28"/>
        <v>4413750</v>
      </c>
      <c r="AF34" s="204">
        <v>4119500.0000000005</v>
      </c>
      <c r="AG34" s="106">
        <f>'ung luong'!F107</f>
        <v>4000000</v>
      </c>
      <c r="AH34" s="106">
        <f t="shared" si="31"/>
        <v>0</v>
      </c>
      <c r="AI34" s="106" t="e">
        <f t="shared" ca="1" si="10"/>
        <v>#N/A</v>
      </c>
      <c r="AJ34" s="106" t="e">
        <f t="shared" ca="1" si="11"/>
        <v>#N/A</v>
      </c>
      <c r="AK34" s="231"/>
    </row>
    <row r="35" spans="1:39" ht="21" customHeight="1" x14ac:dyDescent="0.2">
      <c r="A35" s="3">
        <f t="shared" si="30"/>
        <v>27</v>
      </c>
      <c r="B35" s="3" t="s">
        <v>181</v>
      </c>
      <c r="C35" s="3" t="s">
        <v>89</v>
      </c>
      <c r="D35" s="3" t="s">
        <v>206</v>
      </c>
      <c r="E35" s="110">
        <v>41640</v>
      </c>
      <c r="F35" s="111">
        <f t="shared" si="20"/>
        <v>2</v>
      </c>
      <c r="G35" s="22">
        <f t="shared" si="1"/>
        <v>3745000</v>
      </c>
      <c r="H35" s="28" t="s">
        <v>661</v>
      </c>
      <c r="I35" s="28">
        <v>1</v>
      </c>
      <c r="J35" s="277">
        <v>3745000</v>
      </c>
      <c r="K35" s="306">
        <f>VLOOKUP(H35,'thang luong moi'!B:I,'Bang luong (chaun)'!I35+1,0)</f>
        <v>4413750</v>
      </c>
      <c r="L35" s="315">
        <f t="shared" si="24"/>
        <v>0.15151515151515152</v>
      </c>
      <c r="M35" s="77" t="e">
        <f>VLOOKUP(C35,CC!$C$5:$AJ$67,34,0)</f>
        <v>#N/A</v>
      </c>
      <c r="N35" s="22" t="e">
        <f t="shared" si="9"/>
        <v>#N/A</v>
      </c>
      <c r="O35" s="22" t="e">
        <f>VLOOKUP(C35,CC!$C$5:$AM$67,36,0)</f>
        <v>#N/A</v>
      </c>
      <c r="P35" s="22" t="e">
        <f>VLOOKUP(C35,CC!$C$5:$BS$67,69,0)</f>
        <v>#N/A</v>
      </c>
      <c r="Q35" s="22" t="e">
        <f>VLOOKUP(C35,CC!$C$5:$BT$67,70,0)</f>
        <v>#N/A</v>
      </c>
      <c r="R35" s="22" t="e">
        <f>VLOOKUP(C35,CC!$C$5:$AM$67,37,0)</f>
        <v>#N/A</v>
      </c>
      <c r="S35" s="22" t="e">
        <f>VLOOKUP(C35,CC!$C$5:$AM$67,35,0)</f>
        <v>#N/A</v>
      </c>
      <c r="T35" s="22" t="e">
        <f t="shared" si="8"/>
        <v>#N/A</v>
      </c>
      <c r="U35" s="22" t="e">
        <f>VLOOKUP(C35,'Công tổng'!$C$53:$BY$67,66,0)-N35</f>
        <v>#N/A</v>
      </c>
      <c r="V35" s="22">
        <f t="shared" si="25"/>
        <v>88275</v>
      </c>
      <c r="W35" s="22">
        <f ca="1">(100%-SUMIF('chuyên cần'!$C$6:$AP$31,'Bang luong (chaun)'!C35,'chuyên cần'!$AP$7:$AP$31))*$W$3</f>
        <v>300000</v>
      </c>
      <c r="X35" s="22"/>
      <c r="Y35" s="22"/>
      <c r="Z35" s="22">
        <v>0</v>
      </c>
      <c r="AA35" s="22"/>
      <c r="AB35" s="199">
        <v>374900</v>
      </c>
      <c r="AC35" s="106" t="e">
        <f t="shared" ca="1" si="26"/>
        <v>#N/A</v>
      </c>
      <c r="AD35" s="203">
        <f t="shared" si="27"/>
        <v>4119900</v>
      </c>
      <c r="AE35" s="204">
        <f t="shared" si="28"/>
        <v>4788650</v>
      </c>
      <c r="AF35" s="204">
        <v>4494400</v>
      </c>
      <c r="AG35" s="106" t="e">
        <f>'ung luong'!#REF!</f>
        <v>#REF!</v>
      </c>
      <c r="AH35" s="106">
        <f t="shared" si="31"/>
        <v>0</v>
      </c>
      <c r="AI35" s="106" t="e">
        <f t="shared" ca="1" si="10"/>
        <v>#N/A</v>
      </c>
      <c r="AJ35" s="106" t="e">
        <f t="shared" ca="1" si="11"/>
        <v>#N/A</v>
      </c>
      <c r="AK35" s="231"/>
    </row>
    <row r="36" spans="1:39" ht="21" customHeight="1" x14ac:dyDescent="0.2">
      <c r="A36" s="3">
        <f t="shared" si="30"/>
        <v>28</v>
      </c>
      <c r="B36" s="3" t="s">
        <v>182</v>
      </c>
      <c r="C36" s="3" t="s">
        <v>71</v>
      </c>
      <c r="D36" s="3" t="s">
        <v>206</v>
      </c>
      <c r="E36" s="110">
        <v>41997</v>
      </c>
      <c r="F36" s="111">
        <f t="shared" si="20"/>
        <v>1</v>
      </c>
      <c r="G36" s="22">
        <f t="shared" si="1"/>
        <v>3745000</v>
      </c>
      <c r="H36" s="28" t="s">
        <v>661</v>
      </c>
      <c r="I36" s="28">
        <v>1</v>
      </c>
      <c r="J36" s="277">
        <v>3745000</v>
      </c>
      <c r="K36" s="306">
        <f>VLOOKUP(H36,'thang luong moi'!B:I,'Bang luong (chaun)'!I36+1,0)</f>
        <v>4413750</v>
      </c>
      <c r="L36" s="315">
        <f t="shared" si="24"/>
        <v>0.15151515151515152</v>
      </c>
      <c r="M36" s="77">
        <f>VLOOKUP(C36,CC!$C$5:$AJ$67,34,0)</f>
        <v>26</v>
      </c>
      <c r="N36" s="22">
        <f t="shared" si="9"/>
        <v>4413750</v>
      </c>
      <c r="O36" s="22">
        <f>VLOOKUP(C36,CC!$C$5:$AM$67,36,0)</f>
        <v>0</v>
      </c>
      <c r="P36" s="22">
        <f>VLOOKUP(C36,CC!$C$5:$BS$67,69,0)</f>
        <v>80</v>
      </c>
      <c r="Q36" s="22">
        <f>VLOOKUP(C36,CC!$C$5:$BT$67,70,0)</f>
        <v>16</v>
      </c>
      <c r="R36" s="22">
        <f>VLOOKUP(C36,CC!$C$5:$AM$67,37,0)</f>
        <v>1</v>
      </c>
      <c r="S36" s="22">
        <f>VLOOKUP(C36,CC!$C$5:$AM$67,35,0)</f>
        <v>0</v>
      </c>
      <c r="T36" s="22">
        <f t="shared" si="8"/>
        <v>7808942.307692307</v>
      </c>
      <c r="U36" s="22">
        <f>VLOOKUP(C36,'Công tổng'!$C$53:$BY$67,66,0)-N36</f>
        <v>-4413750</v>
      </c>
      <c r="V36" s="22">
        <f t="shared" si="25"/>
        <v>0</v>
      </c>
      <c r="W36" s="22">
        <f ca="1">(100%-SUMIF('chuyên cần'!$C$6:$AP$31,'Bang luong (chaun)'!C36,'chuyên cần'!$AP$7:$AP$31))*$W$3</f>
        <v>300000</v>
      </c>
      <c r="X36" s="22"/>
      <c r="Y36" s="22"/>
      <c r="Z36" s="22">
        <v>0</v>
      </c>
      <c r="AA36" s="22"/>
      <c r="AB36" s="199">
        <v>75000</v>
      </c>
      <c r="AC36" s="106">
        <f t="shared" ca="1" si="26"/>
        <v>3695192.307692307</v>
      </c>
      <c r="AD36" s="203">
        <f t="shared" si="27"/>
        <v>3820000</v>
      </c>
      <c r="AE36" s="204">
        <f t="shared" si="28"/>
        <v>4488750</v>
      </c>
      <c r="AF36" s="204">
        <v>4194500</v>
      </c>
      <c r="AG36" s="106">
        <f>'ung luong'!F103</f>
        <v>0</v>
      </c>
      <c r="AH36" s="106">
        <f t="shared" si="31"/>
        <v>0</v>
      </c>
      <c r="AI36" s="106">
        <f t="shared" ca="1" si="10"/>
        <v>3695192.307692307</v>
      </c>
      <c r="AJ36" s="106">
        <f t="shared" ca="1" si="11"/>
        <v>3695000</v>
      </c>
      <c r="AK36" s="231"/>
    </row>
    <row r="37" spans="1:39" ht="21" customHeight="1" x14ac:dyDescent="0.2">
      <c r="A37" s="3">
        <f t="shared" si="30"/>
        <v>29</v>
      </c>
      <c r="B37" s="3" t="s">
        <v>183</v>
      </c>
      <c r="C37" s="3" t="s">
        <v>87</v>
      </c>
      <c r="D37" s="3" t="s">
        <v>206</v>
      </c>
      <c r="E37" s="110">
        <v>41786</v>
      </c>
      <c r="F37" s="111">
        <f t="shared" si="20"/>
        <v>1</v>
      </c>
      <c r="G37" s="22">
        <f t="shared" si="1"/>
        <v>3745000</v>
      </c>
      <c r="H37" s="28" t="s">
        <v>661</v>
      </c>
      <c r="I37" s="28">
        <v>1</v>
      </c>
      <c r="J37" s="277">
        <v>3745000</v>
      </c>
      <c r="K37" s="306">
        <f>VLOOKUP(H37,'thang luong moi'!B:I,'Bang luong (chaun)'!I37+1,0)</f>
        <v>4413750</v>
      </c>
      <c r="L37" s="315">
        <f t="shared" si="24"/>
        <v>0.15151515151515152</v>
      </c>
      <c r="M37" s="77">
        <f>VLOOKUP(C37,CC!$C$5:$AJ$67,34,0)</f>
        <v>22</v>
      </c>
      <c r="N37" s="22">
        <f t="shared" si="9"/>
        <v>3734711.538461538</v>
      </c>
      <c r="O37" s="22">
        <f>VLOOKUP(C37,CC!$C$5:$AM$67,36,0)</f>
        <v>4</v>
      </c>
      <c r="P37" s="22">
        <f>VLOOKUP(C37,CC!$C$5:$BS$67,69,0)</f>
        <v>25</v>
      </c>
      <c r="Q37" s="22">
        <f>VLOOKUP(C37,CC!$C$5:$BT$67,70,0)</f>
        <v>16</v>
      </c>
      <c r="R37" s="22">
        <f>VLOOKUP(C37,CC!$C$5:$AM$67,37,0)</f>
        <v>1</v>
      </c>
      <c r="S37" s="22">
        <f>VLOOKUP(C37,CC!$C$5:$AM$67,35,0)</f>
        <v>0</v>
      </c>
      <c r="T37" s="22">
        <f t="shared" si="8"/>
        <v>6058296.274038461</v>
      </c>
      <c r="U37" s="22">
        <f>VLOOKUP(C37,'Công tổng'!$C$53:$BY$67,66,0)-N37</f>
        <v>-3734711.538461538</v>
      </c>
      <c r="V37" s="22">
        <f t="shared" si="25"/>
        <v>0</v>
      </c>
      <c r="W37" s="22">
        <f ca="1">(100%-SUMIF('chuyên cần'!$C$6:$AP$31,'Bang luong (chaun)'!C37,'chuyên cần'!$AP$7:$AP$31))*$W$3</f>
        <v>300000</v>
      </c>
      <c r="X37" s="22"/>
      <c r="Y37" s="22"/>
      <c r="Z37" s="22">
        <v>0</v>
      </c>
      <c r="AA37" s="22"/>
      <c r="AB37" s="199">
        <v>300000</v>
      </c>
      <c r="AC37" s="265">
        <f t="shared" ca="1" si="26"/>
        <v>2623584.735576923</v>
      </c>
      <c r="AD37" s="203">
        <f t="shared" si="27"/>
        <v>4045000</v>
      </c>
      <c r="AE37" s="204">
        <f t="shared" si="28"/>
        <v>4713750</v>
      </c>
      <c r="AF37" s="204">
        <v>4419500</v>
      </c>
      <c r="AG37" s="106">
        <f>'ung luong'!F99</f>
        <v>4000000</v>
      </c>
      <c r="AH37" s="106">
        <f t="shared" si="31"/>
        <v>0</v>
      </c>
      <c r="AI37" s="106">
        <f t="shared" ca="1" si="10"/>
        <v>-1376415.264423077</v>
      </c>
      <c r="AJ37" s="265">
        <f t="shared" ca="1" si="11"/>
        <v>-1376000</v>
      </c>
      <c r="AK37" s="231"/>
    </row>
    <row r="38" spans="1:39" ht="21" customHeight="1" x14ac:dyDescent="0.2">
      <c r="A38" s="3">
        <f t="shared" si="30"/>
        <v>30</v>
      </c>
      <c r="B38" s="3" t="s">
        <v>184</v>
      </c>
      <c r="C38" s="3" t="s">
        <v>88</v>
      </c>
      <c r="D38" s="3" t="s">
        <v>206</v>
      </c>
      <c r="E38" s="110">
        <v>41876</v>
      </c>
      <c r="F38" s="111">
        <f t="shared" si="20"/>
        <v>1</v>
      </c>
      <c r="G38" s="22">
        <f t="shared" si="1"/>
        <v>3745000</v>
      </c>
      <c r="H38" s="28" t="s">
        <v>661</v>
      </c>
      <c r="I38" s="28">
        <v>1</v>
      </c>
      <c r="J38" s="277">
        <v>3745000</v>
      </c>
      <c r="K38" s="306">
        <f>VLOOKUP(H38,'thang luong moi'!B:I,'Bang luong (chaun)'!I38+1,0)</f>
        <v>4413750</v>
      </c>
      <c r="L38" s="315">
        <f t="shared" si="24"/>
        <v>0.15151515151515152</v>
      </c>
      <c r="M38" s="77">
        <f>VLOOKUP(C38,CC!$C$5:$AJ$67,34,0)</f>
        <v>24</v>
      </c>
      <c r="N38" s="22">
        <f t="shared" si="9"/>
        <v>4074230.769230769</v>
      </c>
      <c r="O38" s="22">
        <f>VLOOKUP(C38,CC!$C$5:$AM$67,36,0)</f>
        <v>2</v>
      </c>
      <c r="P38" s="22">
        <f>VLOOKUP(C38,CC!$C$5:$BS$67,69,0)</f>
        <v>5.5</v>
      </c>
      <c r="Q38" s="22">
        <f>VLOOKUP(C38,CC!$C$5:$BT$67,70,0)</f>
        <v>0</v>
      </c>
      <c r="R38" s="22">
        <f>VLOOKUP(C38,CC!$C$5:$AM$67,37,0)</f>
        <v>1</v>
      </c>
      <c r="S38" s="22">
        <f>VLOOKUP(C38,CC!$C$5:$AM$67,35,0)</f>
        <v>0</v>
      </c>
      <c r="T38" s="22">
        <f t="shared" si="8"/>
        <v>4758574.21875</v>
      </c>
      <c r="U38" s="22">
        <f>VLOOKUP(C38,'Công tổng'!$C$53:$BY$67,66,0)-N38</f>
        <v>-4074230.769230769</v>
      </c>
      <c r="V38" s="22">
        <f t="shared" si="25"/>
        <v>0</v>
      </c>
      <c r="W38" s="22">
        <f ca="1">(100%-SUMIF('chuyên cần'!$C$6:$AP$31,'Bang luong (chaun)'!C38,'chuyên cần'!$AP$7:$AP$31))*$W$3</f>
        <v>300000</v>
      </c>
      <c r="X38" s="22"/>
      <c r="Y38" s="22"/>
      <c r="Z38" s="22">
        <v>0</v>
      </c>
      <c r="AA38" s="22"/>
      <c r="AB38" s="199">
        <v>300000</v>
      </c>
      <c r="AC38" s="265">
        <f t="shared" ca="1" si="26"/>
        <v>984343.44951923098</v>
      </c>
      <c r="AD38" s="203">
        <f t="shared" si="27"/>
        <v>4045000</v>
      </c>
      <c r="AE38" s="204">
        <f t="shared" si="28"/>
        <v>4713750</v>
      </c>
      <c r="AF38" s="204">
        <v>4419500</v>
      </c>
      <c r="AG38" s="106">
        <f>'ung luong'!F100</f>
        <v>3500000</v>
      </c>
      <c r="AH38" s="106">
        <f t="shared" si="31"/>
        <v>0</v>
      </c>
      <c r="AI38" s="106">
        <f t="shared" ca="1" si="10"/>
        <v>-2515656.550480769</v>
      </c>
      <c r="AJ38" s="265">
        <f t="shared" ca="1" si="11"/>
        <v>-2516000</v>
      </c>
      <c r="AK38" s="231"/>
    </row>
    <row r="39" spans="1:39" ht="21" customHeight="1" x14ac:dyDescent="0.2">
      <c r="A39" s="3">
        <f t="shared" si="30"/>
        <v>31</v>
      </c>
      <c r="B39" s="3" t="s">
        <v>185</v>
      </c>
      <c r="C39" s="3" t="s">
        <v>81</v>
      </c>
      <c r="D39" s="3" t="s">
        <v>206</v>
      </c>
      <c r="E39" s="110">
        <v>42201</v>
      </c>
      <c r="F39" s="111">
        <f t="shared" si="20"/>
        <v>0</v>
      </c>
      <c r="G39" s="22">
        <f t="shared" si="1"/>
        <v>3745000</v>
      </c>
      <c r="H39" s="28" t="s">
        <v>661</v>
      </c>
      <c r="I39" s="28">
        <v>1</v>
      </c>
      <c r="J39" s="277">
        <v>3745000</v>
      </c>
      <c r="K39" s="306">
        <f>VLOOKUP(H39,'thang luong moi'!B:I,'Bang luong (chaun)'!I39+1,0)</f>
        <v>4413750</v>
      </c>
      <c r="L39" s="315">
        <f t="shared" si="24"/>
        <v>0.15151515151515152</v>
      </c>
      <c r="M39" s="77" t="e">
        <f>VLOOKUP(C39,CC!$C$5:$AJ$67,34,0)</f>
        <v>#N/A</v>
      </c>
      <c r="N39" s="22" t="e">
        <f>K39/26*M39</f>
        <v>#N/A</v>
      </c>
      <c r="O39" s="22" t="e">
        <f>VLOOKUP(C39,CC!$C$5:$AM$67,36,0)</f>
        <v>#N/A</v>
      </c>
      <c r="P39" s="22" t="e">
        <f>VLOOKUP(C39,CC!$C$5:$BS$67,69,0)</f>
        <v>#N/A</v>
      </c>
      <c r="Q39" s="22" t="e">
        <f>VLOOKUP(C39,CC!$C$5:$BT$67,70,0)</f>
        <v>#N/A</v>
      </c>
      <c r="R39" s="22" t="e">
        <f>VLOOKUP(C39,CC!$C$5:$AM$67,37,0)</f>
        <v>#N/A</v>
      </c>
      <c r="S39" s="22" t="e">
        <f>VLOOKUP(C39,CC!$C$5:$AM$67,35,0)</f>
        <v>#N/A</v>
      </c>
      <c r="T39" s="22" t="e">
        <f>((K39/26)*M39)+(O39*(K39/26))+((P39/8)*1.5*(K39/26))+((Q39/8)*2*K39/26)+(S39*3*(K39/26)+(K39/26)*R39)</f>
        <v>#N/A</v>
      </c>
      <c r="U39" s="22" t="e">
        <f>VLOOKUP(C39,'Công tổng'!$C$53:$BY$67,66,0)-N39</f>
        <v>#N/A</v>
      </c>
      <c r="V39" s="22">
        <f>IF((F39-$V$3)&gt;0,F39%*K39,0)</f>
        <v>0</v>
      </c>
      <c r="W39" s="22">
        <f ca="1">(100%-SUMIF('chuyên cần'!$C$6:$AP$31,'Bang luong (chaun)'!C39,'chuyên cần'!$AP$7:$AP$31))*$W$3</f>
        <v>300000</v>
      </c>
      <c r="X39" s="22"/>
      <c r="Y39" s="22"/>
      <c r="Z39" s="22">
        <v>0</v>
      </c>
      <c r="AA39" s="22"/>
      <c r="AB39" s="199">
        <v>150000</v>
      </c>
      <c r="AC39" s="106" t="e">
        <f t="shared" ca="1" si="26"/>
        <v>#N/A</v>
      </c>
      <c r="AD39" s="203">
        <f t="shared" si="27"/>
        <v>3895000</v>
      </c>
      <c r="AE39" s="204">
        <f t="shared" si="28"/>
        <v>4563750</v>
      </c>
      <c r="AF39" s="204">
        <v>4269500</v>
      </c>
      <c r="AG39" s="106" t="e">
        <f>'ung luong'!#REF!</f>
        <v>#REF!</v>
      </c>
      <c r="AH39" s="106">
        <f>AM39*$AH$2</f>
        <v>0</v>
      </c>
      <c r="AI39" s="106" t="e">
        <f ca="1">AC39-AG39-AH39</f>
        <v>#N/A</v>
      </c>
      <c r="AJ39" s="106" t="e">
        <f ca="1">ROUND(AI39,-3)</f>
        <v>#N/A</v>
      </c>
      <c r="AK39" s="231"/>
    </row>
    <row r="40" spans="1:39" ht="21" customHeight="1" x14ac:dyDescent="0.2">
      <c r="A40" s="3">
        <f t="shared" si="30"/>
        <v>32</v>
      </c>
      <c r="B40" s="3" t="s">
        <v>567</v>
      </c>
      <c r="C40" s="3" t="s">
        <v>571</v>
      </c>
      <c r="D40" s="3" t="s">
        <v>206</v>
      </c>
      <c r="E40" s="110">
        <v>42371</v>
      </c>
      <c r="F40" s="111">
        <f t="shared" si="20"/>
        <v>0</v>
      </c>
      <c r="G40" s="22">
        <f t="shared" si="1"/>
        <v>3745000</v>
      </c>
      <c r="H40" s="28" t="s">
        <v>661</v>
      </c>
      <c r="I40" s="28">
        <v>1</v>
      </c>
      <c r="J40" s="277">
        <v>3745000</v>
      </c>
      <c r="K40" s="306">
        <f>VLOOKUP(H40,'thang luong moi'!B:I,'Bang luong (chaun)'!I40+1,0)</f>
        <v>4413750</v>
      </c>
      <c r="L40" s="315">
        <f t="shared" si="24"/>
        <v>0.15151515151515152</v>
      </c>
      <c r="M40" s="77">
        <f>VLOOKUP(C40,CC!$C$5:$AJ$67,34,0)</f>
        <v>26</v>
      </c>
      <c r="N40" s="22">
        <f>K40/26*M40</f>
        <v>4413750</v>
      </c>
      <c r="O40" s="22">
        <f>VLOOKUP(C40,CC!$C$5:$AM$67,36,0)</f>
        <v>0</v>
      </c>
      <c r="P40" s="22">
        <f>VLOOKUP(C40,CC!$C$5:$BS$67,69,0)</f>
        <v>49</v>
      </c>
      <c r="Q40" s="22">
        <f>VLOOKUP(C40,CC!$C$5:$BT$67,70,0)</f>
        <v>16</v>
      </c>
      <c r="R40" s="22">
        <f>VLOOKUP(C40,CC!$C$5:$AM$67,37,0)</f>
        <v>1</v>
      </c>
      <c r="S40" s="22">
        <f>VLOOKUP(C40,CC!$C$5:$AM$67,35,0)</f>
        <v>0</v>
      </c>
      <c r="T40" s="22">
        <f>((K40/26)*M40)+(O40*(K40/26))+((P40/8)*1.5*(K40/26))+((Q40/8)*2*K40/26)+(S40*3*(K40/26)+(K40/26)*R40)</f>
        <v>6822214.543269231</v>
      </c>
      <c r="U40" s="22" t="e">
        <f>VLOOKUP(C40,'Công tổng'!$C$53:$BY$67,66,0)-N40</f>
        <v>#N/A</v>
      </c>
      <c r="V40" s="22">
        <f>IF((F40-$V$3)&gt;0,F40%*K40,0)</f>
        <v>0</v>
      </c>
      <c r="W40" s="22">
        <f ca="1">(100%-SUMIF('chuyên cần'!$C$6:$AP$31,'Bang luong (chaun)'!C40,'chuyên cần'!$AP$7:$AP$31))*$W$3</f>
        <v>0</v>
      </c>
      <c r="X40" s="22"/>
      <c r="Y40" s="22"/>
      <c r="Z40" s="22">
        <v>0</v>
      </c>
      <c r="AA40" s="22"/>
      <c r="AB40" s="199">
        <v>300000</v>
      </c>
      <c r="AC40" s="106" t="e">
        <f t="shared" ca="1" si="26"/>
        <v>#N/A</v>
      </c>
      <c r="AD40" s="203">
        <f t="shared" si="27"/>
        <v>4045000</v>
      </c>
      <c r="AE40" s="204">
        <f t="shared" si="28"/>
        <v>4713750</v>
      </c>
      <c r="AF40" s="204">
        <v>4419500</v>
      </c>
      <c r="AG40" s="106" t="e">
        <f>'ung luong'!#REF!</f>
        <v>#REF!</v>
      </c>
      <c r="AH40" s="106">
        <f>AM40*$AH$2</f>
        <v>0</v>
      </c>
      <c r="AI40" s="106" t="e">
        <f ca="1">AC40-AG40-AH40</f>
        <v>#N/A</v>
      </c>
      <c r="AJ40" s="106" t="e">
        <f ca="1">ROUND(AI40,-3)</f>
        <v>#N/A</v>
      </c>
      <c r="AK40" s="231"/>
    </row>
    <row r="41" spans="1:39" s="10" customFormat="1" ht="21" hidden="1" customHeight="1" x14ac:dyDescent="0.2">
      <c r="A41" s="23"/>
      <c r="B41" s="23"/>
      <c r="C41" s="23"/>
      <c r="D41" s="23"/>
      <c r="E41" s="23"/>
      <c r="F41" s="23"/>
      <c r="G41" s="25"/>
      <c r="H41" s="29"/>
      <c r="I41" s="29"/>
      <c r="J41" s="276"/>
      <c r="K41" s="34"/>
      <c r="L41" s="34"/>
      <c r="M41" s="232"/>
      <c r="N41" s="105"/>
      <c r="O41" s="105"/>
      <c r="P41" s="105"/>
      <c r="Q41" s="105"/>
      <c r="R41" s="105"/>
      <c r="S41" s="105"/>
      <c r="T41" s="34"/>
      <c r="U41" s="34"/>
      <c r="V41" s="174"/>
      <c r="W41" s="25"/>
      <c r="X41" s="34"/>
      <c r="Y41" s="22"/>
      <c r="Z41" s="34">
        <v>0</v>
      </c>
      <c r="AA41" s="34"/>
      <c r="AB41" s="203"/>
      <c r="AC41" s="34" t="e">
        <f ca="1">SUM(AC42:AC79)</f>
        <v>#N/A</v>
      </c>
      <c r="AD41" s="203"/>
      <c r="AE41" s="203"/>
      <c r="AF41" s="203"/>
      <c r="AG41" s="34" t="e">
        <f>SUM(AG42:AG79)</f>
        <v>#REF!</v>
      </c>
      <c r="AH41" s="34">
        <f>SUM(AH42:AH79)</f>
        <v>1393140</v>
      </c>
      <c r="AI41" s="34" t="e">
        <f ca="1">SUM(AI42:AI79)</f>
        <v>#N/A</v>
      </c>
      <c r="AJ41" s="34" t="e">
        <f ca="1">SUM(AJ42:AJ79)</f>
        <v>#N/A</v>
      </c>
      <c r="AK41" s="229"/>
      <c r="AL41" s="220"/>
      <c r="AM41" s="230"/>
    </row>
    <row r="42" spans="1:39" ht="21" customHeight="1" x14ac:dyDescent="0.2">
      <c r="A42" s="3">
        <f>A40+1</f>
        <v>33</v>
      </c>
      <c r="B42" s="3" t="s">
        <v>186</v>
      </c>
      <c r="C42" s="3" t="s">
        <v>83</v>
      </c>
      <c r="D42" s="3" t="s">
        <v>207</v>
      </c>
      <c r="E42" s="110">
        <v>40462</v>
      </c>
      <c r="F42" s="111">
        <f t="shared" si="20"/>
        <v>5</v>
      </c>
      <c r="G42" s="22">
        <f t="shared" si="1"/>
        <v>3745000</v>
      </c>
      <c r="H42" s="28" t="s">
        <v>667</v>
      </c>
      <c r="I42" s="28">
        <v>1</v>
      </c>
      <c r="J42" s="277">
        <v>3745000</v>
      </c>
      <c r="K42" s="306">
        <f>VLOOKUP(H42,'thang luong moi'!B:I,'Bang luong (chaun)'!I42+1,0)</f>
        <v>4213125</v>
      </c>
      <c r="L42" s="315">
        <f t="shared" ref="L42:L79" si="32">(K42-J42)/K42</f>
        <v>0.1111111111111111</v>
      </c>
      <c r="M42" s="77" t="e">
        <f>VLOOKUP(C42,CC!$C$5:$AJ$67,34,0)</f>
        <v>#N/A</v>
      </c>
      <c r="N42" s="22" t="e">
        <f t="shared" si="9"/>
        <v>#N/A</v>
      </c>
      <c r="O42" s="22" t="e">
        <f>VLOOKUP(C42,CC!$C$5:$AM$67,36,0)</f>
        <v>#N/A</v>
      </c>
      <c r="P42" s="22" t="e">
        <f>VLOOKUP(C42,CC!$C$5:$BS$67,69,0)</f>
        <v>#N/A</v>
      </c>
      <c r="Q42" s="22" t="e">
        <f>VLOOKUP(C42,CC!$C$5:$BT$67,70,0)</f>
        <v>#N/A</v>
      </c>
      <c r="R42" s="22" t="e">
        <f>VLOOKUP(C42,CC!$C$5:$AM$67,37,0)</f>
        <v>#N/A</v>
      </c>
      <c r="S42" s="22" t="e">
        <f>VLOOKUP(C42,CC!$C$5:$AM$67,35,0)</f>
        <v>#N/A</v>
      </c>
      <c r="T42" s="22" t="e">
        <f t="shared" si="8"/>
        <v>#N/A</v>
      </c>
      <c r="U42" s="22" t="e">
        <f>VLOOKUP(C42,'Công tổng'!$C$53:$BY$67,66,0)-N42</f>
        <v>#N/A</v>
      </c>
      <c r="V42" s="22">
        <f t="shared" ref="V42:V56" si="33">IF((F42-$V$3)&gt;0,F42%*K42,0)</f>
        <v>210656.25</v>
      </c>
      <c r="W42" s="22">
        <f ca="1">(100%-SUMIF('chuyên cần'!$C$6:$AP$31,'Bang luong (chaun)'!C42,'chuyên cần'!$AP$7:$AP$31))*$W$3</f>
        <v>300000</v>
      </c>
      <c r="X42" s="22"/>
      <c r="Y42" s="22"/>
      <c r="Z42" s="22"/>
      <c r="AA42" s="22"/>
      <c r="AB42" s="199">
        <v>187250</v>
      </c>
      <c r="AC42" s="106" t="e">
        <f t="shared" ref="AC42:AC79" ca="1" si="34">T42+V42+W42+Z42+U42</f>
        <v>#N/A</v>
      </c>
      <c r="AD42" s="203">
        <f t="shared" ref="AD42:AD79" si="35">J42+AB42</f>
        <v>3932250</v>
      </c>
      <c r="AE42" s="204">
        <f t="shared" ref="AE42:AE78" si="36">K42+AB42</f>
        <v>4400375</v>
      </c>
      <c r="AF42" s="204">
        <v>4119500</v>
      </c>
      <c r="AG42" s="106" t="e">
        <f>'ung luong'!#REF!</f>
        <v>#REF!</v>
      </c>
      <c r="AH42" s="106">
        <f t="shared" ref="AH42:AH55" si="37">AM42*$AH$2</f>
        <v>348285</v>
      </c>
      <c r="AI42" s="106" t="e">
        <f t="shared" ca="1" si="10"/>
        <v>#N/A</v>
      </c>
      <c r="AJ42" s="106" t="e">
        <f t="shared" ca="1" si="11"/>
        <v>#N/A</v>
      </c>
      <c r="AK42" s="231"/>
      <c r="AM42" s="220">
        <v>3317000</v>
      </c>
    </row>
    <row r="43" spans="1:39" ht="21" customHeight="1" x14ac:dyDescent="0.2">
      <c r="A43" s="3">
        <f>A42+1</f>
        <v>34</v>
      </c>
      <c r="B43" s="3" t="s">
        <v>187</v>
      </c>
      <c r="C43" s="3" t="s">
        <v>84</v>
      </c>
      <c r="D43" s="3" t="s">
        <v>207</v>
      </c>
      <c r="E43" s="110">
        <v>40596</v>
      </c>
      <c r="F43" s="111">
        <f t="shared" si="20"/>
        <v>5</v>
      </c>
      <c r="G43" s="22">
        <f t="shared" si="1"/>
        <v>3745000</v>
      </c>
      <c r="H43" s="28" t="s">
        <v>667</v>
      </c>
      <c r="I43" s="28">
        <v>1</v>
      </c>
      <c r="J43" s="277">
        <v>3745000</v>
      </c>
      <c r="K43" s="306">
        <f>VLOOKUP(H43,'thang luong moi'!B:I,'Bang luong (chaun)'!I43+1,0)</f>
        <v>4213125</v>
      </c>
      <c r="L43" s="315">
        <f t="shared" si="32"/>
        <v>0.1111111111111111</v>
      </c>
      <c r="M43" s="77" t="e">
        <f>VLOOKUP(C43,CC!$C$5:$AJ$67,34,0)</f>
        <v>#N/A</v>
      </c>
      <c r="N43" s="22" t="e">
        <f t="shared" si="9"/>
        <v>#N/A</v>
      </c>
      <c r="O43" s="22" t="e">
        <f>VLOOKUP(C43,CC!$C$5:$AM$67,36,0)</f>
        <v>#N/A</v>
      </c>
      <c r="P43" s="22" t="e">
        <f>VLOOKUP(C43,CC!$C$5:$BS$67,69,0)</f>
        <v>#N/A</v>
      </c>
      <c r="Q43" s="22" t="e">
        <f>VLOOKUP(C43,CC!$C$5:$BT$67,70,0)</f>
        <v>#N/A</v>
      </c>
      <c r="R43" s="22" t="e">
        <f>VLOOKUP(C43,CC!$C$5:$AM$67,37,0)</f>
        <v>#N/A</v>
      </c>
      <c r="S43" s="22" t="e">
        <f>VLOOKUP(C43,CC!$C$5:$AM$67,35,0)</f>
        <v>#N/A</v>
      </c>
      <c r="T43" s="22" t="e">
        <f t="shared" si="8"/>
        <v>#N/A</v>
      </c>
      <c r="U43" s="22" t="e">
        <f>VLOOKUP(C43,'Công tổng'!$C$53:$BY$67,66,0)-N43</f>
        <v>#N/A</v>
      </c>
      <c r="V43" s="22">
        <f t="shared" si="33"/>
        <v>210656.25</v>
      </c>
      <c r="W43" s="22">
        <f ca="1">(100%-SUMIF('chuyên cần'!$C$6:$AP$31,'Bang luong (chaun)'!C43,'chuyên cần'!$AP$7:$AP$31))*$W$3</f>
        <v>300000</v>
      </c>
      <c r="X43" s="22"/>
      <c r="Y43" s="22"/>
      <c r="Z43" s="22"/>
      <c r="AA43" s="22"/>
      <c r="AB43" s="199">
        <v>487250</v>
      </c>
      <c r="AC43" s="106" t="e">
        <f t="shared" ca="1" si="34"/>
        <v>#N/A</v>
      </c>
      <c r="AD43" s="203">
        <f t="shared" si="35"/>
        <v>4232250</v>
      </c>
      <c r="AE43" s="204">
        <f t="shared" si="36"/>
        <v>4700375</v>
      </c>
      <c r="AF43" s="204">
        <v>4419500</v>
      </c>
      <c r="AG43" s="106" t="e">
        <f>'ung luong'!#REF!</f>
        <v>#REF!</v>
      </c>
      <c r="AH43" s="106">
        <f t="shared" si="37"/>
        <v>348285</v>
      </c>
      <c r="AI43" s="106" t="e">
        <f t="shared" ca="1" si="10"/>
        <v>#N/A</v>
      </c>
      <c r="AJ43" s="106" t="e">
        <f t="shared" ca="1" si="11"/>
        <v>#N/A</v>
      </c>
      <c r="AK43" s="231"/>
      <c r="AM43" s="220">
        <v>3317000</v>
      </c>
    </row>
    <row r="44" spans="1:39" ht="21" customHeight="1" x14ac:dyDescent="0.2">
      <c r="A44" s="3">
        <f t="shared" ref="A44:A79" si="38">A43+1</f>
        <v>35</v>
      </c>
      <c r="B44" s="3" t="s">
        <v>188</v>
      </c>
      <c r="C44" s="3" t="s">
        <v>85</v>
      </c>
      <c r="D44" s="3" t="s">
        <v>207</v>
      </c>
      <c r="E44" s="110">
        <v>41682</v>
      </c>
      <c r="F44" s="111">
        <f t="shared" si="20"/>
        <v>2</v>
      </c>
      <c r="G44" s="22">
        <f t="shared" si="1"/>
        <v>3745000</v>
      </c>
      <c r="H44" s="28" t="s">
        <v>667</v>
      </c>
      <c r="I44" s="28">
        <v>1</v>
      </c>
      <c r="J44" s="277">
        <v>3745000</v>
      </c>
      <c r="K44" s="306">
        <f>VLOOKUP(H44,'thang luong moi'!B:I,'Bang luong (chaun)'!I44+1,0)</f>
        <v>4213125</v>
      </c>
      <c r="L44" s="315">
        <f t="shared" si="32"/>
        <v>0.1111111111111111</v>
      </c>
      <c r="M44" s="77" t="e">
        <f>VLOOKUP(C44,CC!$C$5:$AJ$67,34,0)</f>
        <v>#N/A</v>
      </c>
      <c r="N44" s="22" t="e">
        <f t="shared" si="9"/>
        <v>#N/A</v>
      </c>
      <c r="O44" s="22" t="e">
        <f>VLOOKUP(C44,CC!$C$5:$AM$67,36,0)</f>
        <v>#N/A</v>
      </c>
      <c r="P44" s="22" t="e">
        <f>VLOOKUP(C44,CC!$C$5:$BS$67,69,0)</f>
        <v>#N/A</v>
      </c>
      <c r="Q44" s="22" t="e">
        <f>VLOOKUP(C44,CC!$C$5:$BT$67,70,0)</f>
        <v>#N/A</v>
      </c>
      <c r="R44" s="22" t="e">
        <f>VLOOKUP(C44,CC!$C$5:$AM$67,37,0)</f>
        <v>#N/A</v>
      </c>
      <c r="S44" s="22" t="e">
        <f>VLOOKUP(C44,CC!$C$5:$AM$67,35,0)</f>
        <v>#N/A</v>
      </c>
      <c r="T44" s="22" t="e">
        <f t="shared" si="8"/>
        <v>#N/A</v>
      </c>
      <c r="U44" s="22" t="e">
        <f>VLOOKUP(C44,'Công tổng'!$C$53:$BY$67,66,0)-N44</f>
        <v>#N/A</v>
      </c>
      <c r="V44" s="22">
        <f t="shared" si="33"/>
        <v>84262.5</v>
      </c>
      <c r="W44" s="22">
        <f ca="1">(100%-SUMIF('chuyên cần'!$C$6:$AP$31,'Bang luong (chaun)'!C44,'chuyên cần'!$AP$7:$AP$31))*$W$3</f>
        <v>300000</v>
      </c>
      <c r="X44" s="22"/>
      <c r="Y44" s="22"/>
      <c r="Z44" s="22"/>
      <c r="AA44" s="22"/>
      <c r="AB44" s="199">
        <v>374900</v>
      </c>
      <c r="AC44" s="106" t="e">
        <f t="shared" ca="1" si="34"/>
        <v>#N/A</v>
      </c>
      <c r="AD44" s="203">
        <f t="shared" si="35"/>
        <v>4119900</v>
      </c>
      <c r="AE44" s="204">
        <f t="shared" si="36"/>
        <v>4588025</v>
      </c>
      <c r="AF44" s="204">
        <v>4307150</v>
      </c>
      <c r="AG44" s="106" t="e">
        <f>'ung luong'!#REF!</f>
        <v>#REF!</v>
      </c>
      <c r="AH44" s="106">
        <f t="shared" si="37"/>
        <v>0</v>
      </c>
      <c r="AI44" s="106" t="e">
        <f t="shared" ca="1" si="10"/>
        <v>#N/A</v>
      </c>
      <c r="AJ44" s="106" t="e">
        <f t="shared" ca="1" si="11"/>
        <v>#N/A</v>
      </c>
      <c r="AK44" s="231"/>
    </row>
    <row r="45" spans="1:39" ht="21" customHeight="1" x14ac:dyDescent="0.2">
      <c r="A45" s="3">
        <f t="shared" si="38"/>
        <v>36</v>
      </c>
      <c r="B45" s="3" t="s">
        <v>189</v>
      </c>
      <c r="C45" s="3" t="s">
        <v>239</v>
      </c>
      <c r="D45" s="3" t="s">
        <v>207</v>
      </c>
      <c r="E45" s="110">
        <v>41706</v>
      </c>
      <c r="F45" s="111">
        <f t="shared" si="20"/>
        <v>1</v>
      </c>
      <c r="G45" s="22">
        <f t="shared" si="1"/>
        <v>3745000</v>
      </c>
      <c r="H45" s="28" t="s">
        <v>667</v>
      </c>
      <c r="I45" s="28">
        <v>1</v>
      </c>
      <c r="J45" s="277">
        <v>3745000</v>
      </c>
      <c r="K45" s="306">
        <f>VLOOKUP(H45,'thang luong moi'!B:I,'Bang luong (chaun)'!I45+1,0)</f>
        <v>4213125</v>
      </c>
      <c r="L45" s="315">
        <f t="shared" si="32"/>
        <v>0.1111111111111111</v>
      </c>
      <c r="M45" s="77">
        <f>VLOOKUP(C45,CC!$C$5:$AJ$67,34,0)</f>
        <v>24</v>
      </c>
      <c r="N45" s="22">
        <f t="shared" si="9"/>
        <v>3889038.461538461</v>
      </c>
      <c r="O45" s="22">
        <f>VLOOKUP(C45,CC!$C$5:$AM$67,36,0)</f>
        <v>2</v>
      </c>
      <c r="P45" s="22">
        <f>VLOOKUP(C45,CC!$C$5:$BS$67,69,0)</f>
        <v>0</v>
      </c>
      <c r="Q45" s="22">
        <f>VLOOKUP(C45,CC!$C$5:$BT$67,70,0)</f>
        <v>16</v>
      </c>
      <c r="R45" s="22">
        <f>VLOOKUP(C45,CC!$C$5:$AM$67,37,0)</f>
        <v>1</v>
      </c>
      <c r="S45" s="22">
        <f>VLOOKUP(C45,CC!$C$5:$AM$67,35,0)</f>
        <v>0</v>
      </c>
      <c r="T45" s="22">
        <f t="shared" si="8"/>
        <v>5023341.3461538451</v>
      </c>
      <c r="U45" s="22" t="e">
        <f>VLOOKUP(C45,'Công tổng'!$C$53:$BY$67,66,0)-N45</f>
        <v>#N/A</v>
      </c>
      <c r="V45" s="22">
        <f t="shared" si="33"/>
        <v>0</v>
      </c>
      <c r="W45" s="22">
        <f ca="1">(100%-SUMIF('chuyên cần'!$C$6:$AP$31,'Bang luong (chaun)'!C45,'chuyên cần'!$AP$7:$AP$31))*$W$3</f>
        <v>300000</v>
      </c>
      <c r="X45" s="22"/>
      <c r="Y45" s="22"/>
      <c r="Z45" s="22"/>
      <c r="AA45" s="22"/>
      <c r="AB45" s="199">
        <v>300000</v>
      </c>
      <c r="AC45" s="106" t="e">
        <f t="shared" ca="1" si="34"/>
        <v>#N/A</v>
      </c>
      <c r="AD45" s="203">
        <f t="shared" si="35"/>
        <v>4045000</v>
      </c>
      <c r="AE45" s="204">
        <f t="shared" si="36"/>
        <v>4513125</v>
      </c>
      <c r="AF45" s="204">
        <v>4232250</v>
      </c>
      <c r="AG45" s="106">
        <f>'ung luong'!F126</f>
        <v>3000000</v>
      </c>
      <c r="AH45" s="106">
        <f t="shared" si="37"/>
        <v>0</v>
      </c>
      <c r="AI45" s="106" t="e">
        <f t="shared" ca="1" si="10"/>
        <v>#N/A</v>
      </c>
      <c r="AJ45" s="106" t="e">
        <f t="shared" ca="1" si="11"/>
        <v>#N/A</v>
      </c>
      <c r="AK45" s="231"/>
    </row>
    <row r="46" spans="1:39" ht="21" customHeight="1" x14ac:dyDescent="0.2">
      <c r="A46" s="3">
        <f t="shared" si="38"/>
        <v>37</v>
      </c>
      <c r="B46" s="3" t="s">
        <v>190</v>
      </c>
      <c r="C46" s="3" t="s">
        <v>86</v>
      </c>
      <c r="D46" s="3" t="s">
        <v>207</v>
      </c>
      <c r="E46" s="110">
        <v>41786</v>
      </c>
      <c r="F46" s="111">
        <f t="shared" si="20"/>
        <v>1</v>
      </c>
      <c r="G46" s="22">
        <f t="shared" si="1"/>
        <v>3745000</v>
      </c>
      <c r="H46" s="28" t="s">
        <v>667</v>
      </c>
      <c r="I46" s="28">
        <v>1</v>
      </c>
      <c r="J46" s="277">
        <v>3745000</v>
      </c>
      <c r="K46" s="306">
        <f>VLOOKUP(H46,'thang luong moi'!B:I,'Bang luong (chaun)'!I46+1,0)</f>
        <v>4213125</v>
      </c>
      <c r="L46" s="315">
        <f t="shared" si="32"/>
        <v>0.1111111111111111</v>
      </c>
      <c r="M46" s="77">
        <f>VLOOKUP(C46,CC!$C$5:$AJ$67,34,0)</f>
        <v>24</v>
      </c>
      <c r="N46" s="22">
        <f t="shared" si="9"/>
        <v>3889038.461538461</v>
      </c>
      <c r="O46" s="22">
        <f>VLOOKUP(C46,CC!$C$5:$AM$67,36,0)</f>
        <v>0.5</v>
      </c>
      <c r="P46" s="22">
        <f>VLOOKUP(C46,CC!$C$5:$BS$67,69,0)</f>
        <v>161.5</v>
      </c>
      <c r="Q46" s="22">
        <f>VLOOKUP(C46,CC!$C$5:$BT$67,70,0)</f>
        <v>24</v>
      </c>
      <c r="R46" s="22">
        <f>VLOOKUP(C46,CC!$C$5:$AM$67,37,0)</f>
        <v>0</v>
      </c>
      <c r="S46" s="22">
        <f>VLOOKUP(C46,CC!$C$5:$AM$67,35,0)</f>
        <v>1</v>
      </c>
      <c r="T46" s="22">
        <f t="shared" si="8"/>
        <v>10335322.265625</v>
      </c>
      <c r="U46" s="22" t="e">
        <f>VLOOKUP(C46,'Công tổng'!$C$53:$BY$67,66,0)-N46</f>
        <v>#N/A</v>
      </c>
      <c r="V46" s="22">
        <f t="shared" si="33"/>
        <v>0</v>
      </c>
      <c r="W46" s="22">
        <f ca="1">(100%-SUMIF('chuyên cần'!$C$6:$AP$31,'Bang luong (chaun)'!C46,'chuyên cần'!$AP$7:$AP$31))*$W$3</f>
        <v>300000</v>
      </c>
      <c r="X46" s="22"/>
      <c r="Y46" s="22"/>
      <c r="Z46" s="22"/>
      <c r="AA46" s="22"/>
      <c r="AB46" s="199">
        <v>150000</v>
      </c>
      <c r="AC46" s="106" t="e">
        <f t="shared" ca="1" si="34"/>
        <v>#N/A</v>
      </c>
      <c r="AD46" s="203">
        <f t="shared" si="35"/>
        <v>3895000</v>
      </c>
      <c r="AE46" s="204">
        <f t="shared" si="36"/>
        <v>4363125</v>
      </c>
      <c r="AF46" s="204">
        <v>4082250</v>
      </c>
      <c r="AG46" s="106" t="e">
        <f>'ung luong'!#REF!</f>
        <v>#REF!</v>
      </c>
      <c r="AH46" s="106">
        <f t="shared" si="37"/>
        <v>0</v>
      </c>
      <c r="AI46" s="106" t="e">
        <f t="shared" ca="1" si="10"/>
        <v>#N/A</v>
      </c>
      <c r="AJ46" s="106" t="e">
        <f t="shared" ca="1" si="11"/>
        <v>#N/A</v>
      </c>
      <c r="AK46" s="231"/>
    </row>
    <row r="47" spans="1:39" ht="21" customHeight="1" x14ac:dyDescent="0.2">
      <c r="A47" s="3">
        <f t="shared" si="38"/>
        <v>38</v>
      </c>
      <c r="B47" s="3" t="s">
        <v>191</v>
      </c>
      <c r="C47" s="3" t="s">
        <v>90</v>
      </c>
      <c r="D47" s="3" t="s">
        <v>207</v>
      </c>
      <c r="E47" s="110">
        <v>41956</v>
      </c>
      <c r="F47" s="111">
        <f t="shared" si="20"/>
        <v>1</v>
      </c>
      <c r="G47" s="22">
        <f t="shared" si="1"/>
        <v>3745000</v>
      </c>
      <c r="H47" s="28" t="s">
        <v>667</v>
      </c>
      <c r="I47" s="28">
        <v>1</v>
      </c>
      <c r="J47" s="277">
        <v>3745000</v>
      </c>
      <c r="K47" s="306">
        <f>VLOOKUP(H47,'thang luong moi'!B:I,'Bang luong (chaun)'!I47+1,0)</f>
        <v>4213125</v>
      </c>
      <c r="L47" s="315">
        <f t="shared" si="32"/>
        <v>0.1111111111111111</v>
      </c>
      <c r="M47" s="77" t="e">
        <f>VLOOKUP(C47,CC!$C$5:$AJ$67,34,0)</f>
        <v>#N/A</v>
      </c>
      <c r="N47" s="22" t="e">
        <f t="shared" si="9"/>
        <v>#N/A</v>
      </c>
      <c r="O47" s="22" t="e">
        <f>VLOOKUP(C47,CC!$C$5:$AM$67,36,0)</f>
        <v>#N/A</v>
      </c>
      <c r="P47" s="22" t="e">
        <f>VLOOKUP(C47,CC!$C$5:$BS$67,69,0)</f>
        <v>#N/A</v>
      </c>
      <c r="Q47" s="22" t="e">
        <f>VLOOKUP(C47,CC!$C$5:$BT$67,70,0)</f>
        <v>#N/A</v>
      </c>
      <c r="R47" s="22" t="e">
        <f>VLOOKUP(C47,CC!$C$5:$AM$67,37,0)</f>
        <v>#N/A</v>
      </c>
      <c r="S47" s="22" t="e">
        <f>VLOOKUP(C47,CC!$C$5:$AM$67,35,0)</f>
        <v>#N/A</v>
      </c>
      <c r="T47" s="22" t="e">
        <f t="shared" si="8"/>
        <v>#N/A</v>
      </c>
      <c r="U47" s="22" t="e">
        <f>VLOOKUP(C47,'Công tổng'!$C$53:$BY$67,66,0)-N47</f>
        <v>#N/A</v>
      </c>
      <c r="V47" s="22">
        <f t="shared" si="33"/>
        <v>0</v>
      </c>
      <c r="W47" s="22">
        <f ca="1">(100%-SUMIF('chuyên cần'!$C$6:$AP$31,'Bang luong (chaun)'!C47,'chuyên cần'!$AP$7:$AP$31))*$W$3</f>
        <v>300000</v>
      </c>
      <c r="X47" s="22"/>
      <c r="Y47" s="22"/>
      <c r="Z47" s="22"/>
      <c r="AA47" s="22"/>
      <c r="AB47" s="199">
        <v>75000</v>
      </c>
      <c r="AC47" s="106" t="e">
        <f t="shared" ca="1" si="34"/>
        <v>#N/A</v>
      </c>
      <c r="AD47" s="203">
        <f t="shared" si="35"/>
        <v>3820000</v>
      </c>
      <c r="AE47" s="204">
        <f t="shared" si="36"/>
        <v>4288125</v>
      </c>
      <c r="AF47" s="204">
        <v>4007250</v>
      </c>
      <c r="AG47" s="106" t="e">
        <f>'ung luong'!#REF!</f>
        <v>#REF!</v>
      </c>
      <c r="AH47" s="106">
        <f t="shared" si="37"/>
        <v>0</v>
      </c>
      <c r="AI47" s="106" t="e">
        <f t="shared" ca="1" si="10"/>
        <v>#N/A</v>
      </c>
      <c r="AJ47" s="106" t="e">
        <f t="shared" ca="1" si="11"/>
        <v>#N/A</v>
      </c>
      <c r="AK47" s="231"/>
    </row>
    <row r="48" spans="1:39" ht="21" customHeight="1" x14ac:dyDescent="0.2">
      <c r="A48" s="3">
        <f t="shared" si="38"/>
        <v>39</v>
      </c>
      <c r="B48" s="3" t="s">
        <v>192</v>
      </c>
      <c r="C48" s="3" t="s">
        <v>91</v>
      </c>
      <c r="D48" s="3" t="s">
        <v>207</v>
      </c>
      <c r="E48" s="110">
        <v>41967</v>
      </c>
      <c r="F48" s="111">
        <f t="shared" si="20"/>
        <v>1</v>
      </c>
      <c r="G48" s="22">
        <f t="shared" si="1"/>
        <v>3745000</v>
      </c>
      <c r="H48" s="28" t="s">
        <v>667</v>
      </c>
      <c r="I48" s="28">
        <v>1</v>
      </c>
      <c r="J48" s="277">
        <v>3745000</v>
      </c>
      <c r="K48" s="306">
        <f>VLOOKUP(H48,'thang luong moi'!B:I,'Bang luong (chaun)'!I48+1,0)</f>
        <v>4213125</v>
      </c>
      <c r="L48" s="315">
        <f t="shared" si="32"/>
        <v>0.1111111111111111</v>
      </c>
      <c r="M48" s="77">
        <f>VLOOKUP(C48,CC!$C$5:$AJ$67,34,0)</f>
        <v>25</v>
      </c>
      <c r="N48" s="22">
        <f t="shared" si="9"/>
        <v>4051081.7307692305</v>
      </c>
      <c r="O48" s="22">
        <f>VLOOKUP(C48,CC!$C$5:$AM$67,36,0)</f>
        <v>0</v>
      </c>
      <c r="P48" s="22">
        <f>VLOOKUP(C48,CC!$C$5:$BS$67,69,0)</f>
        <v>21</v>
      </c>
      <c r="Q48" s="22">
        <f>VLOOKUP(C48,CC!$C$5:$BT$67,70,0)</f>
        <v>16</v>
      </c>
      <c r="R48" s="22">
        <f>VLOOKUP(C48,CC!$C$5:$AM$67,37,0)</f>
        <v>1</v>
      </c>
      <c r="S48" s="22">
        <f>VLOOKUP(C48,CC!$C$5:$AM$67,35,0)</f>
        <v>0</v>
      </c>
      <c r="T48" s="22">
        <f t="shared" si="8"/>
        <v>5499343.4495192301</v>
      </c>
      <c r="U48" s="22">
        <f>VLOOKUP(C48,'Công tổng'!$C$53:$BY$67,66,0)-N48</f>
        <v>-4051081.7307692305</v>
      </c>
      <c r="V48" s="22">
        <f t="shared" si="33"/>
        <v>0</v>
      </c>
      <c r="W48" s="22">
        <f ca="1">(100%-SUMIF('chuyên cần'!$C$6:$AP$31,'Bang luong (chaun)'!C48,'chuyên cần'!$AP$7:$AP$31))*$W$3</f>
        <v>0</v>
      </c>
      <c r="X48" s="22"/>
      <c r="Y48" s="22"/>
      <c r="Z48" s="22"/>
      <c r="AA48" s="22"/>
      <c r="AB48" s="199">
        <v>150000</v>
      </c>
      <c r="AC48" s="106">
        <f t="shared" ca="1" si="34"/>
        <v>1448261.7187499995</v>
      </c>
      <c r="AD48" s="203">
        <f t="shared" si="35"/>
        <v>3895000</v>
      </c>
      <c r="AE48" s="204">
        <f t="shared" si="36"/>
        <v>4363125</v>
      </c>
      <c r="AF48" s="204">
        <v>4082250</v>
      </c>
      <c r="AG48" s="106">
        <f>'ung luong'!F91</f>
        <v>4000000</v>
      </c>
      <c r="AH48" s="106">
        <f t="shared" si="37"/>
        <v>0</v>
      </c>
      <c r="AI48" s="106">
        <f t="shared" ca="1" si="10"/>
        <v>-2551738.2812500005</v>
      </c>
      <c r="AJ48" s="106">
        <f t="shared" ca="1" si="11"/>
        <v>-2552000</v>
      </c>
      <c r="AK48" s="231"/>
    </row>
    <row r="49" spans="1:39" ht="21" customHeight="1" x14ac:dyDescent="0.2">
      <c r="A49" s="3">
        <f t="shared" si="38"/>
        <v>40</v>
      </c>
      <c r="B49" s="3" t="s">
        <v>194</v>
      </c>
      <c r="C49" s="3" t="s">
        <v>240</v>
      </c>
      <c r="D49" s="3" t="s">
        <v>207</v>
      </c>
      <c r="E49" s="110">
        <v>42065</v>
      </c>
      <c r="F49" s="111">
        <f t="shared" si="20"/>
        <v>0</v>
      </c>
      <c r="G49" s="22">
        <f t="shared" si="1"/>
        <v>3745000</v>
      </c>
      <c r="H49" s="28" t="s">
        <v>667</v>
      </c>
      <c r="I49" s="28">
        <v>1</v>
      </c>
      <c r="J49" s="277">
        <v>3745000</v>
      </c>
      <c r="K49" s="306">
        <f>VLOOKUP(H49,'thang luong moi'!B:I,'Bang luong (chaun)'!I49+1,0)</f>
        <v>4213125</v>
      </c>
      <c r="L49" s="315">
        <f t="shared" si="32"/>
        <v>0.1111111111111111</v>
      </c>
      <c r="M49" s="77" t="e">
        <f>VLOOKUP(C49,CC!$C$5:$AJ$67,34,0)</f>
        <v>#N/A</v>
      </c>
      <c r="N49" s="22" t="e">
        <f t="shared" si="9"/>
        <v>#N/A</v>
      </c>
      <c r="O49" s="22" t="e">
        <f>VLOOKUP(C49,CC!$C$5:$AM$67,36,0)</f>
        <v>#N/A</v>
      </c>
      <c r="P49" s="22" t="e">
        <f>VLOOKUP(C49,CC!$C$5:$BS$67,69,0)</f>
        <v>#N/A</v>
      </c>
      <c r="Q49" s="22" t="e">
        <f>VLOOKUP(C49,CC!$C$5:$BT$67,70,0)</f>
        <v>#N/A</v>
      </c>
      <c r="R49" s="22" t="e">
        <f>VLOOKUP(C49,CC!$C$5:$AM$67,37,0)</f>
        <v>#N/A</v>
      </c>
      <c r="S49" s="22" t="e">
        <f>VLOOKUP(C49,CC!$C$5:$AM$67,35,0)</f>
        <v>#N/A</v>
      </c>
      <c r="T49" s="22" t="e">
        <f t="shared" si="8"/>
        <v>#N/A</v>
      </c>
      <c r="U49" s="22" t="e">
        <f>VLOOKUP(C49,'Công tổng'!$C$53:$BY$67,66,0)-N49</f>
        <v>#N/A</v>
      </c>
      <c r="V49" s="22">
        <f t="shared" si="33"/>
        <v>0</v>
      </c>
      <c r="W49" s="22">
        <f ca="1">(100%-SUMIF('chuyên cần'!$C$6:$AP$31,'Bang luong (chaun)'!C49,'chuyên cần'!$AP$7:$AP$31))*$W$3</f>
        <v>300000</v>
      </c>
      <c r="X49" s="22"/>
      <c r="Y49" s="22"/>
      <c r="Z49" s="22"/>
      <c r="AA49" s="22"/>
      <c r="AB49" s="199">
        <v>150000</v>
      </c>
      <c r="AC49" s="106" t="e">
        <f t="shared" ca="1" si="34"/>
        <v>#N/A</v>
      </c>
      <c r="AD49" s="203">
        <f t="shared" si="35"/>
        <v>3895000</v>
      </c>
      <c r="AE49" s="204">
        <f t="shared" si="36"/>
        <v>4363125</v>
      </c>
      <c r="AF49" s="204">
        <v>4082250</v>
      </c>
      <c r="AG49" s="106">
        <f>'ung luong'!F74</f>
        <v>4000000</v>
      </c>
      <c r="AH49" s="106">
        <f t="shared" si="37"/>
        <v>0</v>
      </c>
      <c r="AI49" s="106" t="e">
        <f t="shared" ca="1" si="10"/>
        <v>#N/A</v>
      </c>
      <c r="AJ49" s="106" t="e">
        <f t="shared" ca="1" si="11"/>
        <v>#N/A</v>
      </c>
      <c r="AK49" s="231"/>
    </row>
    <row r="50" spans="1:39" ht="21" customHeight="1" x14ac:dyDescent="0.2">
      <c r="A50" s="3">
        <f t="shared" si="38"/>
        <v>41</v>
      </c>
      <c r="B50" s="3" t="s">
        <v>195</v>
      </c>
      <c r="C50" s="3" t="s">
        <v>369</v>
      </c>
      <c r="D50" s="3" t="s">
        <v>207</v>
      </c>
      <c r="E50" s="110">
        <v>42066</v>
      </c>
      <c r="F50" s="111">
        <f t="shared" si="20"/>
        <v>0</v>
      </c>
      <c r="G50" s="22">
        <f t="shared" si="1"/>
        <v>3745000</v>
      </c>
      <c r="H50" s="28" t="s">
        <v>667</v>
      </c>
      <c r="I50" s="28">
        <v>1</v>
      </c>
      <c r="J50" s="277">
        <v>3745000</v>
      </c>
      <c r="K50" s="306">
        <f>VLOOKUP(H50,'thang luong moi'!B:I,'Bang luong (chaun)'!I50+1,0)</f>
        <v>4213125</v>
      </c>
      <c r="L50" s="315">
        <f t="shared" si="32"/>
        <v>0.1111111111111111</v>
      </c>
      <c r="M50" s="77">
        <f>VLOOKUP(C50,CC!$C$5:$AJ$67,34,0)</f>
        <v>25</v>
      </c>
      <c r="N50" s="22">
        <f t="shared" si="9"/>
        <v>4051081.7307692305</v>
      </c>
      <c r="O50" s="22">
        <f>VLOOKUP(C50,CC!$C$5:$AM$67,36,0)</f>
        <v>1</v>
      </c>
      <c r="P50" s="22">
        <f>VLOOKUP(C50,CC!$C$5:$BS$67,69,0)</f>
        <v>24</v>
      </c>
      <c r="Q50" s="22">
        <f>VLOOKUP(C50,CC!$C$5:$BT$67,70,0)</f>
        <v>16</v>
      </c>
      <c r="R50" s="22">
        <f>VLOOKUP(C50,CC!$C$5:$AM$67,37,0)</f>
        <v>1</v>
      </c>
      <c r="S50" s="22">
        <f>VLOOKUP(C50,CC!$C$5:$AM$67,35,0)</f>
        <v>0</v>
      </c>
      <c r="T50" s="22">
        <f t="shared" si="8"/>
        <v>5752536.057692308</v>
      </c>
      <c r="U50" s="22">
        <f>VLOOKUP(C50,'Công tổng'!$C$53:$BY$67,66,0)-N50</f>
        <v>-4051081.7307692305</v>
      </c>
      <c r="V50" s="22">
        <f t="shared" si="33"/>
        <v>0</v>
      </c>
      <c r="W50" s="22">
        <f ca="1">(100%-SUMIF('chuyên cần'!$C$6:$AP$31,'Bang luong (chaun)'!C50,'chuyên cần'!$AP$7:$AP$31))*$W$3</f>
        <v>300000</v>
      </c>
      <c r="X50" s="22"/>
      <c r="Y50" s="22"/>
      <c r="Z50" s="22"/>
      <c r="AA50" s="22"/>
      <c r="AB50" s="199">
        <v>300000</v>
      </c>
      <c r="AC50" s="106">
        <f t="shared" ca="1" si="34"/>
        <v>2001454.3269230775</v>
      </c>
      <c r="AD50" s="203">
        <f t="shared" si="35"/>
        <v>4045000</v>
      </c>
      <c r="AE50" s="204">
        <f t="shared" si="36"/>
        <v>4513125</v>
      </c>
      <c r="AF50" s="204">
        <v>4232250</v>
      </c>
      <c r="AG50" s="106" t="e">
        <f>'ung luong'!#REF!</f>
        <v>#REF!</v>
      </c>
      <c r="AH50" s="106">
        <f t="shared" si="37"/>
        <v>0</v>
      </c>
      <c r="AI50" s="106" t="e">
        <f t="shared" ca="1" si="10"/>
        <v>#REF!</v>
      </c>
      <c r="AJ50" s="106" t="e">
        <f t="shared" ca="1" si="11"/>
        <v>#REF!</v>
      </c>
      <c r="AK50" s="231"/>
    </row>
    <row r="51" spans="1:39" ht="21" customHeight="1" x14ac:dyDescent="0.2">
      <c r="A51" s="3">
        <f t="shared" si="38"/>
        <v>42</v>
      </c>
      <c r="B51" s="3" t="s">
        <v>196</v>
      </c>
      <c r="C51" s="3" t="s">
        <v>93</v>
      </c>
      <c r="D51" s="3" t="s">
        <v>207</v>
      </c>
      <c r="E51" s="110">
        <v>42066</v>
      </c>
      <c r="F51" s="111">
        <f t="shared" si="20"/>
        <v>0</v>
      </c>
      <c r="G51" s="22">
        <f t="shared" si="1"/>
        <v>3745000</v>
      </c>
      <c r="H51" s="28" t="s">
        <v>667</v>
      </c>
      <c r="I51" s="28">
        <v>1</v>
      </c>
      <c r="J51" s="277">
        <v>3745000</v>
      </c>
      <c r="K51" s="306">
        <f>VLOOKUP(H51,'thang luong moi'!B:I,'Bang luong (chaun)'!I51+1,0)</f>
        <v>4213125</v>
      </c>
      <c r="L51" s="315">
        <f t="shared" si="32"/>
        <v>0.1111111111111111</v>
      </c>
      <c r="M51" s="77">
        <f>VLOOKUP(C51,CC!$C$5:$AJ$67,34,0)</f>
        <v>26</v>
      </c>
      <c r="N51" s="22">
        <f t="shared" si="9"/>
        <v>4213125</v>
      </c>
      <c r="O51" s="22">
        <f>VLOOKUP(C51,CC!$C$5:$AM$67,36,0)</f>
        <v>0</v>
      </c>
      <c r="P51" s="22">
        <f>VLOOKUP(C51,CC!$C$5:$BS$67,69,0)</f>
        <v>45</v>
      </c>
      <c r="Q51" s="22">
        <f>VLOOKUP(C51,CC!$C$5:$BT$67,70,0)</f>
        <v>16</v>
      </c>
      <c r="R51" s="22">
        <f>VLOOKUP(C51,CC!$C$5:$AM$67,37,0)</f>
        <v>1</v>
      </c>
      <c r="S51" s="22">
        <f>VLOOKUP(C51,CC!$C$5:$AM$67,35,0)</f>
        <v>0</v>
      </c>
      <c r="T51" s="22">
        <f t="shared" si="8"/>
        <v>6390581.430288461</v>
      </c>
      <c r="U51" s="22" t="e">
        <f>VLOOKUP(C51,'Công tổng'!$C$53:$BY$67,66,0)-N51</f>
        <v>#N/A</v>
      </c>
      <c r="V51" s="22">
        <f t="shared" si="33"/>
        <v>0</v>
      </c>
      <c r="W51" s="22">
        <f ca="1">(100%-SUMIF('chuyên cần'!$C$6:$AP$31,'Bang luong (chaun)'!C51,'chuyên cần'!$AP$7:$AP$31))*$W$3</f>
        <v>300000</v>
      </c>
      <c r="X51" s="22"/>
      <c r="Y51" s="22"/>
      <c r="Z51" s="22"/>
      <c r="AA51" s="22"/>
      <c r="AB51" s="199">
        <v>75000</v>
      </c>
      <c r="AC51" s="265" t="e">
        <f t="shared" ca="1" si="34"/>
        <v>#N/A</v>
      </c>
      <c r="AD51" s="203">
        <f t="shared" si="35"/>
        <v>3820000</v>
      </c>
      <c r="AE51" s="204">
        <f t="shared" si="36"/>
        <v>4288125</v>
      </c>
      <c r="AF51" s="204">
        <v>4007250</v>
      </c>
      <c r="AG51" s="106">
        <f>'ung luong'!F95</f>
        <v>4000000</v>
      </c>
      <c r="AH51" s="106">
        <f t="shared" si="37"/>
        <v>0</v>
      </c>
      <c r="AI51" s="106" t="e">
        <f t="shared" ca="1" si="10"/>
        <v>#N/A</v>
      </c>
      <c r="AJ51" s="265" t="e">
        <f t="shared" ca="1" si="11"/>
        <v>#N/A</v>
      </c>
      <c r="AK51" s="231"/>
    </row>
    <row r="52" spans="1:39" ht="21" customHeight="1" x14ac:dyDescent="0.2">
      <c r="A52" s="3">
        <f t="shared" si="38"/>
        <v>43</v>
      </c>
      <c r="B52" s="3" t="s">
        <v>197</v>
      </c>
      <c r="C52" s="3" t="s">
        <v>80</v>
      </c>
      <c r="D52" s="3" t="s">
        <v>207</v>
      </c>
      <c r="E52" s="110">
        <v>42078</v>
      </c>
      <c r="F52" s="111">
        <f t="shared" si="20"/>
        <v>0</v>
      </c>
      <c r="G52" s="22">
        <f t="shared" si="1"/>
        <v>3745000</v>
      </c>
      <c r="H52" s="28" t="s">
        <v>667</v>
      </c>
      <c r="I52" s="28">
        <v>1</v>
      </c>
      <c r="J52" s="277">
        <v>3745000</v>
      </c>
      <c r="K52" s="306">
        <f>VLOOKUP(H52,'thang luong moi'!B:I,'Bang luong (chaun)'!I52+1,0)</f>
        <v>4213125</v>
      </c>
      <c r="L52" s="315">
        <f t="shared" si="32"/>
        <v>0.1111111111111111</v>
      </c>
      <c r="M52" s="77">
        <f>VLOOKUP(C52,CC!$C$5:$AJ$67,34,0)</f>
        <v>26</v>
      </c>
      <c r="N52" s="22">
        <f t="shared" si="9"/>
        <v>4213125</v>
      </c>
      <c r="O52" s="22">
        <f>VLOOKUP(C52,CC!$C$5:$AM$67,36,0)</f>
        <v>0</v>
      </c>
      <c r="P52" s="22">
        <f>VLOOKUP(C52,CC!$C$5:$BS$67,69,0)</f>
        <v>69.5</v>
      </c>
      <c r="Q52" s="22">
        <f>VLOOKUP(C52,CC!$C$5:$BT$67,70,0)</f>
        <v>32</v>
      </c>
      <c r="R52" s="22">
        <f>VLOOKUP(C52,CC!$C$5:$AM$67,37,0)</f>
        <v>1</v>
      </c>
      <c r="S52" s="22">
        <f>VLOOKUP(C52,CC!$C$5:$AM$67,35,0)</f>
        <v>0</v>
      </c>
      <c r="T52" s="22">
        <f t="shared" si="8"/>
        <v>7783140.775240385</v>
      </c>
      <c r="U52" s="22" t="e">
        <f>VLOOKUP(C52,'Công tổng'!$C$53:$BY$67,66,0)-N52</f>
        <v>#N/A</v>
      </c>
      <c r="V52" s="22">
        <f t="shared" si="33"/>
        <v>0</v>
      </c>
      <c r="W52" s="22">
        <f ca="1">(100%-SUMIF('chuyên cần'!$C$6:$AP$31,'Bang luong (chaun)'!C52,'chuyên cần'!$AP$7:$AP$31))*$W$3</f>
        <v>0</v>
      </c>
      <c r="X52" s="22"/>
      <c r="Y52" s="22"/>
      <c r="Z52" s="22"/>
      <c r="AA52" s="22"/>
      <c r="AB52" s="199">
        <v>300000</v>
      </c>
      <c r="AC52" s="106" t="e">
        <f t="shared" ca="1" si="34"/>
        <v>#N/A</v>
      </c>
      <c r="AD52" s="203">
        <f t="shared" si="35"/>
        <v>4045000</v>
      </c>
      <c r="AE52" s="204">
        <f t="shared" si="36"/>
        <v>4513125</v>
      </c>
      <c r="AF52" s="204">
        <v>4232250</v>
      </c>
      <c r="AG52" s="106">
        <f>'ung luong'!F109</f>
        <v>4000000</v>
      </c>
      <c r="AH52" s="106">
        <f t="shared" si="37"/>
        <v>0</v>
      </c>
      <c r="AI52" s="106" t="e">
        <f t="shared" ca="1" si="10"/>
        <v>#N/A</v>
      </c>
      <c r="AJ52" s="106" t="e">
        <f t="shared" ca="1" si="11"/>
        <v>#N/A</v>
      </c>
      <c r="AK52" s="231"/>
    </row>
    <row r="53" spans="1:39" ht="21" customHeight="1" x14ac:dyDescent="0.2">
      <c r="A53" s="3">
        <f t="shared" si="38"/>
        <v>44</v>
      </c>
      <c r="B53" s="3" t="s">
        <v>198</v>
      </c>
      <c r="C53" s="3" t="s">
        <v>78</v>
      </c>
      <c r="D53" s="3" t="s">
        <v>207</v>
      </c>
      <c r="E53" s="110">
        <v>40869</v>
      </c>
      <c r="F53" s="111">
        <f t="shared" si="20"/>
        <v>4</v>
      </c>
      <c r="G53" s="22">
        <f t="shared" si="1"/>
        <v>3745000</v>
      </c>
      <c r="H53" s="28" t="s">
        <v>667</v>
      </c>
      <c r="I53" s="28">
        <v>1</v>
      </c>
      <c r="J53" s="277">
        <v>3745000</v>
      </c>
      <c r="K53" s="306">
        <f>VLOOKUP(H53,'thang luong moi'!B:I,'Bang luong (chaun)'!I53+1,0)</f>
        <v>4213125</v>
      </c>
      <c r="L53" s="315">
        <f t="shared" si="32"/>
        <v>0.1111111111111111</v>
      </c>
      <c r="M53" s="77">
        <f>VLOOKUP(C53,CC!$C$5:$AJ$67,34,0)</f>
        <v>26</v>
      </c>
      <c r="N53" s="22">
        <f t="shared" si="9"/>
        <v>4213125</v>
      </c>
      <c r="O53" s="22">
        <f>VLOOKUP(C53,CC!$C$5:$AM$67,36,0)</f>
        <v>0</v>
      </c>
      <c r="P53" s="22">
        <f>VLOOKUP(C53,CC!$C$5:$BS$67,69,0)</f>
        <v>0</v>
      </c>
      <c r="Q53" s="22">
        <f>VLOOKUP(C53,CC!$C$5:$BT$67,70,0)</f>
        <v>16</v>
      </c>
      <c r="R53" s="22">
        <f>VLOOKUP(C53,CC!$C$5:$AM$67,37,0)</f>
        <v>1</v>
      </c>
      <c r="S53" s="22">
        <f>VLOOKUP(C53,CC!$C$5:$AM$67,35,0)</f>
        <v>0</v>
      </c>
      <c r="T53" s="22">
        <f t="shared" si="8"/>
        <v>5023341.346153846</v>
      </c>
      <c r="U53" s="22" t="e">
        <f>VLOOKUP(C53,'Công tổng'!$C$53:$BY$67,66,0)-N53</f>
        <v>#N/A</v>
      </c>
      <c r="V53" s="22">
        <f t="shared" si="33"/>
        <v>168525</v>
      </c>
      <c r="W53" s="22">
        <f ca="1">(100%-SUMIF('chuyên cần'!$C$6:$AP$31,'Bang luong (chaun)'!C53,'chuyên cần'!$AP$7:$AP$31))*$W$3</f>
        <v>300000</v>
      </c>
      <c r="X53" s="22"/>
      <c r="Y53" s="22"/>
      <c r="Z53" s="22"/>
      <c r="AA53" s="22"/>
      <c r="AB53" s="199">
        <v>449800</v>
      </c>
      <c r="AC53" s="106" t="e">
        <f t="shared" ca="1" si="34"/>
        <v>#N/A</v>
      </c>
      <c r="AD53" s="203">
        <f t="shared" si="35"/>
        <v>4194800</v>
      </c>
      <c r="AE53" s="204">
        <f t="shared" si="36"/>
        <v>4662925</v>
      </c>
      <c r="AF53" s="204">
        <v>4382050</v>
      </c>
      <c r="AG53" s="106" t="e">
        <f>'ung luong'!#REF!</f>
        <v>#REF!</v>
      </c>
      <c r="AH53" s="106">
        <f t="shared" si="37"/>
        <v>348285</v>
      </c>
      <c r="AI53" s="106" t="e">
        <f t="shared" ca="1" si="10"/>
        <v>#N/A</v>
      </c>
      <c r="AJ53" s="106" t="e">
        <f t="shared" ca="1" si="11"/>
        <v>#N/A</v>
      </c>
      <c r="AK53" s="231"/>
      <c r="AM53" s="220">
        <v>3317000</v>
      </c>
    </row>
    <row r="54" spans="1:39" ht="21" customHeight="1" x14ac:dyDescent="0.2">
      <c r="A54" s="3">
        <f t="shared" si="38"/>
        <v>45</v>
      </c>
      <c r="B54" s="3" t="s">
        <v>199</v>
      </c>
      <c r="C54" s="3" t="s">
        <v>82</v>
      </c>
      <c r="D54" s="3" t="s">
        <v>207</v>
      </c>
      <c r="E54" s="110">
        <v>42201</v>
      </c>
      <c r="F54" s="111">
        <f t="shared" si="20"/>
        <v>0</v>
      </c>
      <c r="G54" s="22">
        <f t="shared" si="1"/>
        <v>3745000</v>
      </c>
      <c r="H54" s="28" t="s">
        <v>667</v>
      </c>
      <c r="I54" s="28">
        <v>1</v>
      </c>
      <c r="J54" s="277">
        <v>3745000</v>
      </c>
      <c r="K54" s="306">
        <f>VLOOKUP(H54,'thang luong moi'!B:I,'Bang luong (chaun)'!I54+1,0)</f>
        <v>4213125</v>
      </c>
      <c r="L54" s="315">
        <f t="shared" si="32"/>
        <v>0.1111111111111111</v>
      </c>
      <c r="M54" s="77" t="e">
        <f>VLOOKUP(C54,CC!$C$5:$AJ$67,34,0)</f>
        <v>#N/A</v>
      </c>
      <c r="N54" s="22" t="e">
        <f t="shared" si="9"/>
        <v>#N/A</v>
      </c>
      <c r="O54" s="22" t="e">
        <f>VLOOKUP(C54,CC!$C$5:$AM$67,36,0)</f>
        <v>#N/A</v>
      </c>
      <c r="P54" s="22" t="e">
        <f>VLOOKUP(C54,CC!$C$5:$BS$67,69,0)</f>
        <v>#N/A</v>
      </c>
      <c r="Q54" s="22" t="e">
        <f>VLOOKUP(C54,CC!$C$5:$BT$67,70,0)</f>
        <v>#N/A</v>
      </c>
      <c r="R54" s="22" t="e">
        <f>VLOOKUP(C54,CC!$C$5:$AM$67,37,0)</f>
        <v>#N/A</v>
      </c>
      <c r="S54" s="22" t="e">
        <f>VLOOKUP(C54,CC!$C$5:$AM$67,35,0)</f>
        <v>#N/A</v>
      </c>
      <c r="T54" s="22" t="e">
        <f t="shared" si="8"/>
        <v>#N/A</v>
      </c>
      <c r="U54" s="22" t="e">
        <f>VLOOKUP(C54,'Công tổng'!$C$53:$BY$67,66,0)-N54</f>
        <v>#N/A</v>
      </c>
      <c r="V54" s="22">
        <f t="shared" si="33"/>
        <v>0</v>
      </c>
      <c r="W54" s="22">
        <f ca="1">(100%-SUMIF('chuyên cần'!$C$6:$AP$31,'Bang luong (chaun)'!C54,'chuyên cần'!$AP$7:$AP$31))*$W$3</f>
        <v>300000</v>
      </c>
      <c r="X54" s="22"/>
      <c r="Y54" s="22"/>
      <c r="Z54" s="22"/>
      <c r="AA54" s="22"/>
      <c r="AB54" s="199">
        <v>300000</v>
      </c>
      <c r="AC54" s="106" t="e">
        <f t="shared" ca="1" si="34"/>
        <v>#N/A</v>
      </c>
      <c r="AD54" s="203">
        <f t="shared" si="35"/>
        <v>4045000</v>
      </c>
      <c r="AE54" s="204">
        <f t="shared" si="36"/>
        <v>4513125</v>
      </c>
      <c r="AF54" s="204">
        <v>4232250</v>
      </c>
      <c r="AG54" s="106">
        <f>'ung luong'!F94</f>
        <v>0</v>
      </c>
      <c r="AH54" s="106">
        <f t="shared" si="37"/>
        <v>0</v>
      </c>
      <c r="AI54" s="106" t="e">
        <f t="shared" ca="1" si="10"/>
        <v>#N/A</v>
      </c>
      <c r="AJ54" s="106" t="e">
        <f ca="1">ROUND(AI54,-3)</f>
        <v>#N/A</v>
      </c>
      <c r="AK54" s="231"/>
    </row>
    <row r="55" spans="1:39" ht="20.25" customHeight="1" x14ac:dyDescent="0.2">
      <c r="A55" s="3">
        <f t="shared" si="38"/>
        <v>46</v>
      </c>
      <c r="B55" s="3" t="s">
        <v>200</v>
      </c>
      <c r="C55" s="3" t="s">
        <v>79</v>
      </c>
      <c r="D55" s="3" t="s">
        <v>207</v>
      </c>
      <c r="E55" s="110">
        <v>41232</v>
      </c>
      <c r="F55" s="111">
        <f t="shared" si="20"/>
        <v>3</v>
      </c>
      <c r="G55" s="22">
        <f t="shared" si="1"/>
        <v>3745000</v>
      </c>
      <c r="H55" s="28" t="s">
        <v>667</v>
      </c>
      <c r="I55" s="28">
        <v>1</v>
      </c>
      <c r="J55" s="277">
        <v>3745000</v>
      </c>
      <c r="K55" s="306">
        <f>VLOOKUP(H55,'thang luong moi'!B:I,'Bang luong (chaun)'!I55+1,0)</f>
        <v>4213125</v>
      </c>
      <c r="L55" s="315">
        <f t="shared" si="32"/>
        <v>0.1111111111111111</v>
      </c>
      <c r="M55" s="77" t="e">
        <f>VLOOKUP(C55,CC!$C$5:$AJ$67,34,0)</f>
        <v>#N/A</v>
      </c>
      <c r="N55" s="22" t="e">
        <f t="shared" si="9"/>
        <v>#N/A</v>
      </c>
      <c r="O55" s="22" t="e">
        <f>VLOOKUP(C55,CC!$C$5:$AM$67,36,0)</f>
        <v>#N/A</v>
      </c>
      <c r="P55" s="22" t="e">
        <f>VLOOKUP(C55,CC!$C$5:$BS$67,69,0)</f>
        <v>#N/A</v>
      </c>
      <c r="Q55" s="22" t="e">
        <f>VLOOKUP(C55,CC!$C$5:$BT$67,70,0)</f>
        <v>#N/A</v>
      </c>
      <c r="R55" s="22" t="e">
        <f>VLOOKUP(C55,CC!$C$5:$AM$67,37,0)</f>
        <v>#N/A</v>
      </c>
      <c r="S55" s="22" t="e">
        <f>VLOOKUP(C55,CC!$C$5:$AM$67,35,0)</f>
        <v>#N/A</v>
      </c>
      <c r="T55" s="22" t="e">
        <f t="shared" si="8"/>
        <v>#N/A</v>
      </c>
      <c r="U55" s="22" t="e">
        <f>VLOOKUP(C55,'Công tổng'!$C$53:$BY$67,66,0)-N55</f>
        <v>#N/A</v>
      </c>
      <c r="V55" s="22">
        <f t="shared" si="33"/>
        <v>126393.75</v>
      </c>
      <c r="W55" s="22">
        <f ca="1">(100%-SUMIF('chuyên cần'!$C$6:$AP$31,'Bang luong (chaun)'!C55,'chuyên cần'!$AP$7:$AP$31))*$W$3</f>
        <v>300000</v>
      </c>
      <c r="X55" s="22"/>
      <c r="Y55" s="22"/>
      <c r="Z55" s="22"/>
      <c r="AA55" s="22"/>
      <c r="AB55" s="199">
        <v>112350</v>
      </c>
      <c r="AC55" s="106" t="e">
        <f t="shared" ca="1" si="34"/>
        <v>#N/A</v>
      </c>
      <c r="AD55" s="203">
        <f t="shared" si="35"/>
        <v>3857350</v>
      </c>
      <c r="AE55" s="204">
        <f t="shared" si="36"/>
        <v>4325475</v>
      </c>
      <c r="AF55" s="204">
        <v>4044600</v>
      </c>
      <c r="AG55" s="106" t="e">
        <f>'ung luong'!#REF!</f>
        <v>#REF!</v>
      </c>
      <c r="AH55" s="106">
        <f t="shared" si="37"/>
        <v>348285</v>
      </c>
      <c r="AI55" s="106" t="e">
        <f t="shared" ca="1" si="10"/>
        <v>#N/A</v>
      </c>
      <c r="AJ55" s="106" t="e">
        <f t="shared" ca="1" si="11"/>
        <v>#N/A</v>
      </c>
      <c r="AK55" s="231"/>
      <c r="AM55" s="220">
        <v>3317000</v>
      </c>
    </row>
    <row r="56" spans="1:39" ht="18.75" customHeight="1" x14ac:dyDescent="0.2">
      <c r="A56" s="3">
        <f t="shared" si="38"/>
        <v>47</v>
      </c>
      <c r="B56" s="3" t="s">
        <v>500</v>
      </c>
      <c r="C56" s="3" t="s">
        <v>563</v>
      </c>
      <c r="D56" s="3" t="s">
        <v>207</v>
      </c>
      <c r="E56" s="110">
        <v>42362</v>
      </c>
      <c r="F56" s="111">
        <f t="shared" si="20"/>
        <v>0</v>
      </c>
      <c r="G56" s="22">
        <f t="shared" si="1"/>
        <v>3745000</v>
      </c>
      <c r="H56" s="28" t="s">
        <v>667</v>
      </c>
      <c r="I56" s="28">
        <v>1</v>
      </c>
      <c r="J56" s="277">
        <v>3745000</v>
      </c>
      <c r="K56" s="306">
        <f>VLOOKUP(H56,'thang luong moi'!B:I,'Bang luong (chaun)'!I56+1,0)</f>
        <v>4213125</v>
      </c>
      <c r="L56" s="315">
        <f t="shared" si="32"/>
        <v>0.1111111111111111</v>
      </c>
      <c r="M56" s="77" t="e">
        <f>VLOOKUP(C56,CC!$C$5:$AJ$67,34,0)</f>
        <v>#N/A</v>
      </c>
      <c r="N56" s="22" t="e">
        <f>K56/26*M56</f>
        <v>#N/A</v>
      </c>
      <c r="O56" s="22" t="e">
        <f>VLOOKUP(C56,CC!$C$5:$AM$67,36,0)</f>
        <v>#N/A</v>
      </c>
      <c r="P56" s="22" t="e">
        <f>VLOOKUP(C56,CC!$C$5:$BS$67,69,0)</f>
        <v>#N/A</v>
      </c>
      <c r="Q56" s="22" t="e">
        <f>VLOOKUP(C56,CC!$C$5:$BT$67,70,0)</f>
        <v>#N/A</v>
      </c>
      <c r="R56" s="22" t="e">
        <f>VLOOKUP(C56,CC!$C$5:$AM$67,37,0)</f>
        <v>#N/A</v>
      </c>
      <c r="S56" s="22" t="e">
        <f>VLOOKUP(C56,CC!$C$5:$AM$67,35,0)</f>
        <v>#N/A</v>
      </c>
      <c r="T56" s="22" t="e">
        <f t="shared" si="8"/>
        <v>#N/A</v>
      </c>
      <c r="U56" s="22" t="e">
        <f>VLOOKUP(C56,'Công tổng'!$C$53:$BY$67,66,0)-N56</f>
        <v>#N/A</v>
      </c>
      <c r="V56" s="22">
        <f t="shared" si="33"/>
        <v>0</v>
      </c>
      <c r="W56" s="22">
        <f ca="1">(100%-SUMIF('chuyên cần'!$C$6:$AP$31,'Bang luong (chaun)'!C56,'chuyên cần'!$AP$7:$AP$31))*$W$3</f>
        <v>300000</v>
      </c>
      <c r="X56" s="22"/>
      <c r="Y56" s="22"/>
      <c r="Z56" s="22"/>
      <c r="AA56" s="22"/>
      <c r="AB56" s="199">
        <v>0</v>
      </c>
      <c r="AC56" s="106" t="e">
        <f t="shared" ca="1" si="34"/>
        <v>#N/A</v>
      </c>
      <c r="AD56" s="203">
        <f t="shared" si="35"/>
        <v>3745000</v>
      </c>
      <c r="AE56" s="204">
        <f t="shared" si="36"/>
        <v>4213125</v>
      </c>
      <c r="AF56" s="204">
        <v>3932250</v>
      </c>
      <c r="AG56" s="106" t="e">
        <f>'ung luong'!#REF!</f>
        <v>#REF!</v>
      </c>
      <c r="AH56" s="106">
        <f>AM56*$AH$2</f>
        <v>0</v>
      </c>
      <c r="AI56" s="106" t="e">
        <f ca="1">AC56-AG56-AH56</f>
        <v>#N/A</v>
      </c>
      <c r="AJ56" s="106" t="e">
        <f ca="1">ROUND(AI56,-3)</f>
        <v>#N/A</v>
      </c>
      <c r="AK56" s="231"/>
    </row>
    <row r="57" spans="1:39" ht="21" customHeight="1" x14ac:dyDescent="0.2">
      <c r="A57" s="3">
        <f t="shared" si="38"/>
        <v>48</v>
      </c>
      <c r="B57" s="3" t="s">
        <v>576</v>
      </c>
      <c r="C57" s="3" t="s">
        <v>572</v>
      </c>
      <c r="D57" s="3" t="s">
        <v>207</v>
      </c>
      <c r="E57" s="110">
        <v>42376</v>
      </c>
      <c r="F57" s="111">
        <f t="shared" si="20"/>
        <v>0</v>
      </c>
      <c r="G57" s="22">
        <f t="shared" si="1"/>
        <v>3745000</v>
      </c>
      <c r="H57" s="28" t="s">
        <v>667</v>
      </c>
      <c r="I57" s="28">
        <v>1</v>
      </c>
      <c r="J57" s="277">
        <v>3745000</v>
      </c>
      <c r="K57" s="306">
        <f>VLOOKUP(H57,'thang luong moi'!B:I,'Bang luong (chaun)'!I57+1,0)</f>
        <v>4213125</v>
      </c>
      <c r="L57" s="315">
        <f t="shared" si="32"/>
        <v>0.1111111111111111</v>
      </c>
      <c r="M57" s="77" t="e">
        <f>VLOOKUP(C57,CC!$C$5:$AJ$67,34,0)</f>
        <v>#N/A</v>
      </c>
      <c r="N57" s="22" t="e">
        <f>K57/26*M57</f>
        <v>#N/A</v>
      </c>
      <c r="O57" s="22" t="e">
        <f>VLOOKUP(C57,CC!$C$5:$AM$67,36,0)</f>
        <v>#N/A</v>
      </c>
      <c r="P57" s="22" t="e">
        <f>VLOOKUP(C57,CC!$C$5:$BS$67,69,0)</f>
        <v>#N/A</v>
      </c>
      <c r="Q57" s="22" t="e">
        <f>VLOOKUP(C57,CC!$C$5:$BT$67,70,0)</f>
        <v>#N/A</v>
      </c>
      <c r="R57" s="22" t="e">
        <f>VLOOKUP(C57,CC!$C$5:$AM$67,37,0)</f>
        <v>#N/A</v>
      </c>
      <c r="S57" s="22" t="e">
        <f>VLOOKUP(C57,CC!$C$5:$AM$67,35,0)</f>
        <v>#N/A</v>
      </c>
      <c r="T57" s="22" t="e">
        <f>((K57/26)*M57)+(O57*(K57/26))+((P57/8)*1.5*(K57/26))+((Q57/8)*2*K57/26)+(S57*3*(K57/26)+(K57/26)*R57)</f>
        <v>#N/A</v>
      </c>
      <c r="U57" s="22" t="e">
        <f>VLOOKUP(C57,'Công tổng'!$C$53:$BY$67,66,0)-N57</f>
        <v>#N/A</v>
      </c>
      <c r="V57" s="22">
        <f>IF((F57-$V$3)&gt;0,F57%*K57,0)</f>
        <v>0</v>
      </c>
      <c r="W57" s="22">
        <f ca="1">(100%-SUMIF('chuyên cần'!$C$6:$AP$31,'Bang luong (chaun)'!C57,'chuyên cần'!$AP$7:$AP$31))*$W$3</f>
        <v>300000</v>
      </c>
      <c r="X57" s="22"/>
      <c r="Y57" s="22"/>
      <c r="Z57" s="22"/>
      <c r="AA57" s="22"/>
      <c r="AB57" s="199">
        <v>300000</v>
      </c>
      <c r="AC57" s="106" t="e">
        <f t="shared" ca="1" si="34"/>
        <v>#N/A</v>
      </c>
      <c r="AD57" s="203">
        <f t="shared" si="35"/>
        <v>4045000</v>
      </c>
      <c r="AE57" s="204">
        <f t="shared" si="36"/>
        <v>4513125</v>
      </c>
      <c r="AF57" s="204">
        <v>4232250</v>
      </c>
      <c r="AG57" s="106" t="e">
        <f>'ung luong'!#REF!</f>
        <v>#REF!</v>
      </c>
      <c r="AH57" s="106">
        <f>AM57*$AH$2</f>
        <v>0</v>
      </c>
      <c r="AI57" s="106" t="e">
        <f ca="1">AC57-AG57-AH57</f>
        <v>#N/A</v>
      </c>
      <c r="AJ57" s="106" t="e">
        <f ca="1">ROUND(AI57,-3)</f>
        <v>#N/A</v>
      </c>
      <c r="AK57" s="231"/>
    </row>
    <row r="58" spans="1:39" ht="21" customHeight="1" x14ac:dyDescent="0.2">
      <c r="A58" s="3">
        <f t="shared" si="38"/>
        <v>49</v>
      </c>
      <c r="B58" s="3" t="s">
        <v>577</v>
      </c>
      <c r="C58" s="3" t="s">
        <v>578</v>
      </c>
      <c r="D58" s="3" t="s">
        <v>207</v>
      </c>
      <c r="E58" s="110">
        <v>42387</v>
      </c>
      <c r="F58" s="111">
        <f t="shared" si="20"/>
        <v>0</v>
      </c>
      <c r="G58" s="22">
        <f t="shared" si="1"/>
        <v>3745000</v>
      </c>
      <c r="H58" s="28" t="s">
        <v>667</v>
      </c>
      <c r="I58" s="28">
        <v>1</v>
      </c>
      <c r="J58" s="277">
        <v>3745000</v>
      </c>
      <c r="K58" s="306">
        <f>VLOOKUP(H58,'thang luong moi'!B:I,'Bang luong (chaun)'!I58+1,0)</f>
        <v>4213125</v>
      </c>
      <c r="L58" s="315">
        <f t="shared" si="32"/>
        <v>0.1111111111111111</v>
      </c>
      <c r="M58" s="77" t="e">
        <f>VLOOKUP(C58,CC!$C$5:$AJ$67,34,0)</f>
        <v>#N/A</v>
      </c>
      <c r="N58" s="22" t="e">
        <f t="shared" ref="N58:N63" si="39">K58/26*M58</f>
        <v>#N/A</v>
      </c>
      <c r="O58" s="22" t="e">
        <f>VLOOKUP(C58,CC!$C$5:$AM$67,36,0)</f>
        <v>#N/A</v>
      </c>
      <c r="P58" s="22" t="e">
        <f>VLOOKUP(C58,CC!$C$5:$BS$67,69,0)</f>
        <v>#N/A</v>
      </c>
      <c r="Q58" s="22" t="e">
        <f>VLOOKUP(C58,CC!$C$5:$BT$67,70,0)</f>
        <v>#N/A</v>
      </c>
      <c r="R58" s="22" t="e">
        <f>VLOOKUP(C58,CC!$C$5:$AM$67,37,0)</f>
        <v>#N/A</v>
      </c>
      <c r="S58" s="22" t="e">
        <f>VLOOKUP(C58,CC!$C$5:$AM$67,35,0)</f>
        <v>#N/A</v>
      </c>
      <c r="T58" s="22" t="e">
        <f t="shared" ref="T58:T63" si="40">((K58/26)*M58)+(O58*(K58/26))+((P58/8)*1.5*(K58/26))+((Q58/8)*2*K58/26)+(S58*3*(K58/26)+(K58/26)*R58)</f>
        <v>#N/A</v>
      </c>
      <c r="U58" s="22" t="e">
        <f>VLOOKUP(C58,'Công tổng'!$C$53:$BY$67,66,0)-N58</f>
        <v>#N/A</v>
      </c>
      <c r="V58" s="22">
        <f t="shared" ref="V58:V63" si="41">IF((F58-$V$3)&gt;0,F58%*K58,0)</f>
        <v>0</v>
      </c>
      <c r="W58" s="22">
        <f ca="1">(100%-SUMIF('chuyên cần'!$C$6:$AP$31,'Bang luong (chaun)'!C58,'chuyên cần'!$AP$7:$AP$31))*$W$3</f>
        <v>300000</v>
      </c>
      <c r="X58" s="22"/>
      <c r="Y58" s="22"/>
      <c r="Z58" s="22"/>
      <c r="AA58" s="22"/>
      <c r="AB58" s="199">
        <v>0</v>
      </c>
      <c r="AC58" s="106" t="e">
        <f t="shared" ca="1" si="34"/>
        <v>#N/A</v>
      </c>
      <c r="AD58" s="203">
        <f t="shared" si="35"/>
        <v>3745000</v>
      </c>
      <c r="AE58" s="204">
        <f t="shared" si="36"/>
        <v>4213125</v>
      </c>
      <c r="AF58" s="204">
        <v>3932250</v>
      </c>
      <c r="AG58" s="106" t="e">
        <f>'ung luong'!#REF!</f>
        <v>#REF!</v>
      </c>
      <c r="AH58" s="106">
        <f>AM58*$AH$2</f>
        <v>0</v>
      </c>
      <c r="AI58" s="106" t="e">
        <f ca="1">AC58-AG58-AH58</f>
        <v>#N/A</v>
      </c>
      <c r="AJ58" s="106" t="e">
        <f ca="1">ROUND(AI58,-3)</f>
        <v>#N/A</v>
      </c>
      <c r="AK58" s="231"/>
    </row>
    <row r="59" spans="1:39" ht="21" customHeight="1" x14ac:dyDescent="0.2">
      <c r="A59" s="3">
        <f t="shared" si="38"/>
        <v>50</v>
      </c>
      <c r="B59" s="3" t="s">
        <v>588</v>
      </c>
      <c r="C59" s="3" t="s">
        <v>589</v>
      </c>
      <c r="D59" s="3" t="s">
        <v>207</v>
      </c>
      <c r="E59" s="110">
        <v>42413</v>
      </c>
      <c r="F59" s="111">
        <f t="shared" si="20"/>
        <v>0</v>
      </c>
      <c r="G59" s="22">
        <f t="shared" si="1"/>
        <v>3745000</v>
      </c>
      <c r="H59" s="28" t="s">
        <v>667</v>
      </c>
      <c r="I59" s="28">
        <v>1</v>
      </c>
      <c r="J59" s="277">
        <v>3745000</v>
      </c>
      <c r="K59" s="306">
        <f>VLOOKUP(H59,'thang luong moi'!B:I,'Bang luong (chaun)'!I59+1,0)</f>
        <v>4213125</v>
      </c>
      <c r="L59" s="315">
        <f t="shared" si="32"/>
        <v>0.1111111111111111</v>
      </c>
      <c r="M59" s="77">
        <f>VLOOKUP(C59,CC!$C$5:$AJ$67,34,0)</f>
        <v>26</v>
      </c>
      <c r="N59" s="22">
        <f t="shared" si="39"/>
        <v>4213125</v>
      </c>
      <c r="O59" s="22">
        <f>VLOOKUP(C59,CC!$C$5:$AM$67,36,0)</f>
        <v>0</v>
      </c>
      <c r="P59" s="22">
        <f>VLOOKUP(C59,CC!$C$5:$BS$67,69,0)</f>
        <v>0</v>
      </c>
      <c r="Q59" s="22">
        <f>VLOOKUP(C59,CC!$C$5:$BT$67,70,0)</f>
        <v>20</v>
      </c>
      <c r="R59" s="22">
        <f>VLOOKUP(C59,CC!$C$5:$AM$67,37,0)</f>
        <v>0</v>
      </c>
      <c r="S59" s="22">
        <f>VLOOKUP(C59,CC!$C$5:$AM$67,35,0)</f>
        <v>1</v>
      </c>
      <c r="T59" s="22">
        <f t="shared" si="40"/>
        <v>5509471.153846154</v>
      </c>
      <c r="U59" s="22" t="e">
        <f>VLOOKUP(C59,'Công tổng'!$C$53:$BY$67,66,0)-N59</f>
        <v>#N/A</v>
      </c>
      <c r="V59" s="22">
        <f t="shared" si="41"/>
        <v>0</v>
      </c>
      <c r="W59" s="22">
        <f ca="1">(100%-SUMIF('chuyên cần'!$C$6:$AP$31,'Bang luong (chaun)'!C59,'chuyên cần'!$AP$7:$AP$31))*$W$3</f>
        <v>300000</v>
      </c>
      <c r="X59" s="22"/>
      <c r="Y59" s="22"/>
      <c r="Z59" s="22"/>
      <c r="AA59" s="22"/>
      <c r="AB59" s="199">
        <v>0</v>
      </c>
      <c r="AC59" s="106" t="e">
        <f t="shared" ca="1" si="34"/>
        <v>#N/A</v>
      </c>
      <c r="AD59" s="203">
        <f t="shared" si="35"/>
        <v>3745000</v>
      </c>
      <c r="AE59" s="204">
        <f t="shared" si="36"/>
        <v>4213125</v>
      </c>
      <c r="AF59" s="204">
        <v>3932250</v>
      </c>
      <c r="AG59" s="106">
        <f>'ung luong'!F127</f>
        <v>3000000</v>
      </c>
      <c r="AH59" s="106">
        <f>AM59*$AH$2</f>
        <v>0</v>
      </c>
      <c r="AI59" s="106" t="e">
        <f ca="1">AC59-AG59-AH59</f>
        <v>#N/A</v>
      </c>
      <c r="AJ59" s="106" t="e">
        <f ca="1">ROUND(AI59,-3)</f>
        <v>#N/A</v>
      </c>
      <c r="AK59" s="231"/>
    </row>
    <row r="60" spans="1:39" ht="21" customHeight="1" x14ac:dyDescent="0.2">
      <c r="A60" s="3">
        <f t="shared" si="38"/>
        <v>51</v>
      </c>
      <c r="B60" s="3" t="s">
        <v>594</v>
      </c>
      <c r="C60" s="3" t="s">
        <v>599</v>
      </c>
      <c r="D60" s="3" t="s">
        <v>207</v>
      </c>
      <c r="E60" s="110">
        <v>42415</v>
      </c>
      <c r="F60" s="111">
        <f t="shared" si="20"/>
        <v>0</v>
      </c>
      <c r="G60" s="22">
        <f t="shared" si="1"/>
        <v>3745000</v>
      </c>
      <c r="H60" s="28" t="s">
        <v>667</v>
      </c>
      <c r="I60" s="28">
        <v>1</v>
      </c>
      <c r="J60" s="277">
        <v>3745000</v>
      </c>
      <c r="K60" s="306">
        <f>VLOOKUP(H60,'thang luong moi'!B:I,'Bang luong (chaun)'!I60+1,0)</f>
        <v>4213125</v>
      </c>
      <c r="L60" s="315">
        <f t="shared" si="32"/>
        <v>0.1111111111111111</v>
      </c>
      <c r="M60" s="77">
        <f>VLOOKUP(C60,CC!$C$5:$AJ$67,34,0)</f>
        <v>26</v>
      </c>
      <c r="N60" s="22">
        <f t="shared" si="39"/>
        <v>4213125</v>
      </c>
      <c r="O60" s="22">
        <f>VLOOKUP(C60,CC!$C$5:$AM$67,36,0)</f>
        <v>0</v>
      </c>
      <c r="P60" s="22">
        <f>VLOOKUP(C60,CC!$C$5:$BS$67,69,0)</f>
        <v>21</v>
      </c>
      <c r="Q60" s="22">
        <f>VLOOKUP(C60,CC!$C$5:$BT$67,70,0)</f>
        <v>8</v>
      </c>
      <c r="R60" s="22">
        <f>VLOOKUP(C60,CC!$C$5:$AM$67,37,0)</f>
        <v>1</v>
      </c>
      <c r="S60" s="22">
        <f>VLOOKUP(C60,CC!$C$5:$AM$67,35,0)</f>
        <v>0</v>
      </c>
      <c r="T60" s="22">
        <f t="shared" si="40"/>
        <v>5337300.180288461</v>
      </c>
      <c r="U60" s="22">
        <f>VLOOKUP(C60,'Công tổng'!$C$53:$BY$67,66,0)-N60</f>
        <v>-4213125</v>
      </c>
      <c r="V60" s="22">
        <f t="shared" si="41"/>
        <v>0</v>
      </c>
      <c r="W60" s="22">
        <f ca="1">(100%-SUMIF('chuyên cần'!$C$6:$AP$31,'Bang luong (chaun)'!C60,'chuyên cần'!$AP$7:$AP$31))*$W$3</f>
        <v>300000</v>
      </c>
      <c r="X60" s="22"/>
      <c r="Y60" s="22"/>
      <c r="Z60" s="22"/>
      <c r="AA60" s="22"/>
      <c r="AB60" s="199">
        <v>0</v>
      </c>
      <c r="AC60" s="106">
        <f t="shared" ca="1" si="34"/>
        <v>1424175.180288461</v>
      </c>
      <c r="AD60" s="203">
        <f t="shared" si="35"/>
        <v>3745000</v>
      </c>
      <c r="AE60" s="204">
        <f t="shared" si="36"/>
        <v>4213125</v>
      </c>
      <c r="AF60" s="204">
        <v>3932250</v>
      </c>
      <c r="AG60" s="106" t="e">
        <f>'ung luong'!#REF!</f>
        <v>#REF!</v>
      </c>
      <c r="AH60" s="106">
        <f t="shared" ref="AH60:AH72" si="42">AM60*$AH$2</f>
        <v>0</v>
      </c>
      <c r="AI60" s="106" t="e">
        <f t="shared" ref="AI60:AI72" ca="1" si="43">AC60-AG60-AH60</f>
        <v>#REF!</v>
      </c>
      <c r="AJ60" s="106" t="e">
        <f t="shared" ref="AJ60:AJ72" ca="1" si="44">ROUND(AI60,-3)</f>
        <v>#REF!</v>
      </c>
      <c r="AK60" s="231"/>
    </row>
    <row r="61" spans="1:39" ht="21" customHeight="1" x14ac:dyDescent="0.2">
      <c r="A61" s="3">
        <f t="shared" si="38"/>
        <v>52</v>
      </c>
      <c r="B61" s="3" t="s">
        <v>595</v>
      </c>
      <c r="C61" s="3" t="s">
        <v>600</v>
      </c>
      <c r="D61" s="3" t="s">
        <v>207</v>
      </c>
      <c r="E61" s="110">
        <v>42415</v>
      </c>
      <c r="F61" s="111">
        <f t="shared" si="20"/>
        <v>0</v>
      </c>
      <c r="G61" s="22">
        <f t="shared" si="1"/>
        <v>3745000</v>
      </c>
      <c r="H61" s="28" t="s">
        <v>667</v>
      </c>
      <c r="I61" s="28">
        <v>1</v>
      </c>
      <c r="J61" s="277">
        <v>3745000</v>
      </c>
      <c r="K61" s="306">
        <f>VLOOKUP(H61,'thang luong moi'!B:I,'Bang luong (chaun)'!I61+1,0)</f>
        <v>4213125</v>
      </c>
      <c r="L61" s="315">
        <f t="shared" si="32"/>
        <v>0.1111111111111111</v>
      </c>
      <c r="M61" s="77">
        <f>VLOOKUP(C61,CC!$C$5:$AJ$67,34,0)</f>
        <v>26</v>
      </c>
      <c r="N61" s="22">
        <f t="shared" si="39"/>
        <v>4213125</v>
      </c>
      <c r="O61" s="22">
        <f>VLOOKUP(C61,CC!$C$5:$AM$67,36,0)</f>
        <v>0</v>
      </c>
      <c r="P61" s="22">
        <f>VLOOKUP(C61,CC!$C$5:$BS$67,69,0)</f>
        <v>32</v>
      </c>
      <c r="Q61" s="22">
        <f>VLOOKUP(C61,CC!$C$5:$BT$67,70,0)</f>
        <v>0</v>
      </c>
      <c r="R61" s="22">
        <f>VLOOKUP(C61,CC!$C$5:$AM$67,37,0)</f>
        <v>1</v>
      </c>
      <c r="S61" s="22">
        <f>VLOOKUP(C61,CC!$C$5:$AM$67,35,0)</f>
        <v>0</v>
      </c>
      <c r="T61" s="22">
        <f t="shared" si="40"/>
        <v>5347427.884615384</v>
      </c>
      <c r="U61" s="22" t="e">
        <f>VLOOKUP(C61,'Công tổng'!$C$53:$BY$67,66,0)-N61</f>
        <v>#N/A</v>
      </c>
      <c r="V61" s="22">
        <f t="shared" si="41"/>
        <v>0</v>
      </c>
      <c r="W61" s="22">
        <f ca="1">(100%-SUMIF('chuyên cần'!$C$6:$AP$31,'Bang luong (chaun)'!C61,'chuyên cần'!$AP$7:$AP$31))*$W$3</f>
        <v>300000</v>
      </c>
      <c r="X61" s="22"/>
      <c r="Y61" s="22"/>
      <c r="Z61" s="22"/>
      <c r="AA61" s="22"/>
      <c r="AB61" s="199">
        <v>0</v>
      </c>
      <c r="AC61" s="106" t="e">
        <f t="shared" ca="1" si="34"/>
        <v>#N/A</v>
      </c>
      <c r="AD61" s="203">
        <f t="shared" si="35"/>
        <v>3745000</v>
      </c>
      <c r="AE61" s="204">
        <f t="shared" si="36"/>
        <v>4213125</v>
      </c>
      <c r="AF61" s="204">
        <v>3932250</v>
      </c>
      <c r="AG61" s="106" t="e">
        <f>'ung luong'!#REF!</f>
        <v>#REF!</v>
      </c>
      <c r="AH61" s="106">
        <f t="shared" si="42"/>
        <v>0</v>
      </c>
      <c r="AI61" s="106" t="e">
        <f t="shared" ca="1" si="43"/>
        <v>#N/A</v>
      </c>
      <c r="AJ61" s="106" t="e">
        <f t="shared" ca="1" si="44"/>
        <v>#N/A</v>
      </c>
      <c r="AK61" s="231"/>
    </row>
    <row r="62" spans="1:39" ht="21" customHeight="1" x14ac:dyDescent="0.2">
      <c r="A62" s="3">
        <f t="shared" si="38"/>
        <v>53</v>
      </c>
      <c r="B62" s="3" t="s">
        <v>596</v>
      </c>
      <c r="C62" s="3" t="s">
        <v>601</v>
      </c>
      <c r="D62" s="3" t="s">
        <v>207</v>
      </c>
      <c r="E62" s="110">
        <v>42415</v>
      </c>
      <c r="F62" s="111">
        <f t="shared" si="20"/>
        <v>0</v>
      </c>
      <c r="G62" s="22">
        <f t="shared" si="1"/>
        <v>3745000</v>
      </c>
      <c r="H62" s="28" t="s">
        <v>667</v>
      </c>
      <c r="I62" s="28">
        <v>1</v>
      </c>
      <c r="J62" s="277">
        <v>3745000</v>
      </c>
      <c r="K62" s="306">
        <f>VLOOKUP(H62,'thang luong moi'!B:I,'Bang luong (chaun)'!I62+1,0)</f>
        <v>4213125</v>
      </c>
      <c r="L62" s="315">
        <f t="shared" si="32"/>
        <v>0.1111111111111111</v>
      </c>
      <c r="M62" s="77" t="e">
        <f>VLOOKUP(C62,CC!$C$5:$AJ$67,34,0)</f>
        <v>#N/A</v>
      </c>
      <c r="N62" s="22" t="e">
        <f t="shared" si="39"/>
        <v>#N/A</v>
      </c>
      <c r="O62" s="22" t="e">
        <f>VLOOKUP(C62,CC!$C$5:$AM$67,36,0)</f>
        <v>#N/A</v>
      </c>
      <c r="P62" s="22" t="e">
        <f>VLOOKUP(C62,CC!$C$5:$BS$67,69,0)</f>
        <v>#N/A</v>
      </c>
      <c r="Q62" s="22" t="e">
        <f>VLOOKUP(C62,CC!$C$5:$BT$67,70,0)</f>
        <v>#N/A</v>
      </c>
      <c r="R62" s="22" t="e">
        <f>VLOOKUP(C62,CC!$C$5:$AM$67,37,0)</f>
        <v>#N/A</v>
      </c>
      <c r="S62" s="22" t="e">
        <f>VLOOKUP(C62,CC!$C$5:$AM$67,35,0)</f>
        <v>#N/A</v>
      </c>
      <c r="T62" s="22" t="e">
        <f t="shared" si="40"/>
        <v>#N/A</v>
      </c>
      <c r="U62" s="22" t="e">
        <f>VLOOKUP(C62,'Công tổng'!$C$53:$BY$67,66,0)-N62</f>
        <v>#N/A</v>
      </c>
      <c r="V62" s="22">
        <f t="shared" si="41"/>
        <v>0</v>
      </c>
      <c r="W62" s="22">
        <f ca="1">(100%-SUMIF('chuyên cần'!$C$6:$AP$31,'Bang luong (chaun)'!C62,'chuyên cần'!$AP$7:$AP$31))*$W$3</f>
        <v>300000</v>
      </c>
      <c r="X62" s="22"/>
      <c r="Y62" s="22"/>
      <c r="Z62" s="22"/>
      <c r="AA62" s="22"/>
      <c r="AB62" s="199">
        <v>0</v>
      </c>
      <c r="AC62" s="106" t="e">
        <f t="shared" ca="1" si="34"/>
        <v>#N/A</v>
      </c>
      <c r="AD62" s="203">
        <f t="shared" si="35"/>
        <v>3745000</v>
      </c>
      <c r="AE62" s="204">
        <f t="shared" si="36"/>
        <v>4213125</v>
      </c>
      <c r="AF62" s="204">
        <v>3932250</v>
      </c>
      <c r="AG62" s="106" t="e">
        <f>'ung luong'!#REF!</f>
        <v>#REF!</v>
      </c>
      <c r="AH62" s="106">
        <f t="shared" si="42"/>
        <v>0</v>
      </c>
      <c r="AI62" s="106" t="e">
        <f t="shared" ca="1" si="43"/>
        <v>#N/A</v>
      </c>
      <c r="AJ62" s="106" t="e">
        <f t="shared" ca="1" si="44"/>
        <v>#N/A</v>
      </c>
      <c r="AK62" s="231"/>
    </row>
    <row r="63" spans="1:39" ht="21" customHeight="1" x14ac:dyDescent="0.2">
      <c r="A63" s="3">
        <f t="shared" si="38"/>
        <v>54</v>
      </c>
      <c r="B63" s="3" t="s">
        <v>597</v>
      </c>
      <c r="C63" s="3" t="s">
        <v>604</v>
      </c>
      <c r="D63" s="3" t="s">
        <v>207</v>
      </c>
      <c r="E63" s="110">
        <v>42415</v>
      </c>
      <c r="F63" s="111">
        <f t="shared" si="20"/>
        <v>0</v>
      </c>
      <c r="G63" s="22">
        <f t="shared" si="1"/>
        <v>3745000</v>
      </c>
      <c r="H63" s="28" t="s">
        <v>667</v>
      </c>
      <c r="I63" s="28">
        <v>1</v>
      </c>
      <c r="J63" s="277">
        <v>3745000</v>
      </c>
      <c r="K63" s="306">
        <f>VLOOKUP(H63,'thang luong moi'!B:I,'Bang luong (chaun)'!I63+1,0)</f>
        <v>4213125</v>
      </c>
      <c r="L63" s="315">
        <f t="shared" si="32"/>
        <v>0.1111111111111111</v>
      </c>
      <c r="M63" s="77" t="e">
        <f>VLOOKUP(C63,CC!$C$5:$AJ$67,34,0)</f>
        <v>#N/A</v>
      </c>
      <c r="N63" s="22" t="e">
        <f t="shared" si="39"/>
        <v>#N/A</v>
      </c>
      <c r="O63" s="22" t="e">
        <f>VLOOKUP(C63,CC!$C$5:$AM$67,36,0)</f>
        <v>#N/A</v>
      </c>
      <c r="P63" s="22" t="e">
        <f>VLOOKUP(C63,CC!$C$5:$BS$67,69,0)</f>
        <v>#N/A</v>
      </c>
      <c r="Q63" s="22" t="e">
        <f>VLOOKUP(C63,CC!$C$5:$BT$67,70,0)</f>
        <v>#N/A</v>
      </c>
      <c r="R63" s="22" t="e">
        <f>VLOOKUP(C63,CC!$C$5:$AM$67,37,0)</f>
        <v>#N/A</v>
      </c>
      <c r="S63" s="22" t="e">
        <f>VLOOKUP(C63,CC!$C$5:$AM$67,35,0)</f>
        <v>#N/A</v>
      </c>
      <c r="T63" s="22" t="e">
        <f t="shared" si="40"/>
        <v>#N/A</v>
      </c>
      <c r="U63" s="22" t="e">
        <f>VLOOKUP(C63,'Công tổng'!$C$53:$BY$67,66,0)-N63</f>
        <v>#N/A</v>
      </c>
      <c r="V63" s="22">
        <f t="shared" si="41"/>
        <v>0</v>
      </c>
      <c r="W63" s="22">
        <f ca="1">(100%-SUMIF('chuyên cần'!$C$6:$AP$31,'Bang luong (chaun)'!C63,'chuyên cần'!$AP$7:$AP$31))*$W$3</f>
        <v>300000</v>
      </c>
      <c r="X63" s="22"/>
      <c r="Y63" s="22"/>
      <c r="Z63" s="22"/>
      <c r="AA63" s="22"/>
      <c r="AB63" s="199">
        <v>0</v>
      </c>
      <c r="AC63" s="106" t="e">
        <f t="shared" ca="1" si="34"/>
        <v>#N/A</v>
      </c>
      <c r="AD63" s="203">
        <f t="shared" si="35"/>
        <v>3745000</v>
      </c>
      <c r="AE63" s="204">
        <f t="shared" si="36"/>
        <v>4213125</v>
      </c>
      <c r="AF63" s="204">
        <v>3932250</v>
      </c>
      <c r="AG63" s="106" t="e">
        <f>'ung luong'!#REF!</f>
        <v>#REF!</v>
      </c>
      <c r="AH63" s="106">
        <f t="shared" si="42"/>
        <v>0</v>
      </c>
      <c r="AI63" s="106" t="e">
        <f t="shared" ca="1" si="43"/>
        <v>#N/A</v>
      </c>
      <c r="AJ63" s="106" t="e">
        <f t="shared" ca="1" si="44"/>
        <v>#N/A</v>
      </c>
      <c r="AK63" s="231"/>
    </row>
    <row r="64" spans="1:39" ht="21" customHeight="1" x14ac:dyDescent="0.2">
      <c r="A64" s="3">
        <f t="shared" si="38"/>
        <v>55</v>
      </c>
      <c r="B64" s="3" t="s">
        <v>598</v>
      </c>
      <c r="C64" s="3" t="s">
        <v>27</v>
      </c>
      <c r="D64" s="3" t="s">
        <v>207</v>
      </c>
      <c r="E64" s="110">
        <v>42417</v>
      </c>
      <c r="F64" s="111">
        <f t="shared" si="20"/>
        <v>0</v>
      </c>
      <c r="G64" s="22">
        <f t="shared" si="1"/>
        <v>3745000</v>
      </c>
      <c r="H64" s="28" t="s">
        <v>667</v>
      </c>
      <c r="I64" s="28">
        <v>1</v>
      </c>
      <c r="J64" s="277">
        <v>3745000</v>
      </c>
      <c r="K64" s="306">
        <f>VLOOKUP(H64,'thang luong moi'!B:I,'Bang luong (chaun)'!I64+1,0)</f>
        <v>4213125</v>
      </c>
      <c r="L64" s="315">
        <f t="shared" si="32"/>
        <v>0.1111111111111111</v>
      </c>
      <c r="M64" s="77" t="e">
        <f>VLOOKUP(C64,CC!$C$5:$AJ$67,34,0)</f>
        <v>#N/A</v>
      </c>
      <c r="N64" s="22" t="e">
        <f>K64/26*M64</f>
        <v>#N/A</v>
      </c>
      <c r="O64" s="22" t="e">
        <f>VLOOKUP(C64,CC!$C$5:$AM$67,36,0)</f>
        <v>#N/A</v>
      </c>
      <c r="P64" s="22" t="e">
        <f>VLOOKUP(C64,CC!$C$5:$BS$67,69,0)</f>
        <v>#N/A</v>
      </c>
      <c r="Q64" s="22" t="e">
        <f>VLOOKUP(C64,CC!$C$5:$BT$67,70,0)</f>
        <v>#N/A</v>
      </c>
      <c r="R64" s="22" t="e">
        <f>VLOOKUP(C64,CC!$C$5:$AM$67,37,0)</f>
        <v>#N/A</v>
      </c>
      <c r="S64" s="22" t="e">
        <f>VLOOKUP(C64,CC!$C$5:$AM$67,35,0)</f>
        <v>#N/A</v>
      </c>
      <c r="T64" s="22" t="e">
        <f>((K64/26)*M64)+(O64*(K64/26))+((P64/8)*1.5*(K64/26))+((Q64/8)*2*K64/26)+(S64*3*(K64/26)+(K64/26)*R64)</f>
        <v>#N/A</v>
      </c>
      <c r="U64" s="22" t="e">
        <f>VLOOKUP(C64,'Công tổng'!$C$53:$BY$67,66,0)-N64</f>
        <v>#N/A</v>
      </c>
      <c r="V64" s="22">
        <f>IF((F64-$V$3)&gt;0,F64%*K64,0)</f>
        <v>0</v>
      </c>
      <c r="W64" s="22">
        <f ca="1">(100%-SUMIF('chuyên cần'!$C$6:$AP$31,'Bang luong (chaun)'!C64,'chuyên cần'!$AP$7:$AP$31))*$W$3</f>
        <v>300000</v>
      </c>
      <c r="X64" s="22"/>
      <c r="Y64" s="22"/>
      <c r="Z64" s="22"/>
      <c r="AA64" s="22"/>
      <c r="AB64" s="199">
        <v>0</v>
      </c>
      <c r="AC64" s="106" t="e">
        <f t="shared" ca="1" si="34"/>
        <v>#N/A</v>
      </c>
      <c r="AD64" s="203">
        <f t="shared" si="35"/>
        <v>3745000</v>
      </c>
      <c r="AE64" s="204">
        <f t="shared" si="36"/>
        <v>4213125</v>
      </c>
      <c r="AF64" s="204">
        <v>3932250</v>
      </c>
      <c r="AG64" s="106" t="e">
        <f>'ung luong'!#REF!</f>
        <v>#REF!</v>
      </c>
      <c r="AH64" s="106">
        <f t="shared" si="42"/>
        <v>0</v>
      </c>
      <c r="AI64" s="106" t="e">
        <f t="shared" ca="1" si="43"/>
        <v>#N/A</v>
      </c>
      <c r="AJ64" s="106" t="e">
        <f t="shared" ca="1" si="44"/>
        <v>#N/A</v>
      </c>
      <c r="AK64" s="231"/>
    </row>
    <row r="65" spans="1:37" ht="21" customHeight="1" x14ac:dyDescent="0.2">
      <c r="A65" s="3">
        <f t="shared" si="38"/>
        <v>56</v>
      </c>
      <c r="B65" s="3" t="s">
        <v>602</v>
      </c>
      <c r="C65" s="3" t="s">
        <v>603</v>
      </c>
      <c r="D65" s="3" t="s">
        <v>207</v>
      </c>
      <c r="E65" s="110">
        <v>42417</v>
      </c>
      <c r="F65" s="111">
        <f t="shared" si="20"/>
        <v>0</v>
      </c>
      <c r="G65" s="22">
        <f t="shared" si="1"/>
        <v>3745000</v>
      </c>
      <c r="H65" s="28" t="s">
        <v>667</v>
      </c>
      <c r="I65" s="28">
        <v>1</v>
      </c>
      <c r="J65" s="277">
        <v>3745000</v>
      </c>
      <c r="K65" s="306">
        <f>VLOOKUP(H65,'thang luong moi'!B:I,'Bang luong (chaun)'!I65+1,0)</f>
        <v>4213125</v>
      </c>
      <c r="L65" s="315">
        <f t="shared" si="32"/>
        <v>0.1111111111111111</v>
      </c>
      <c r="M65" s="77" t="e">
        <f>VLOOKUP(C65,CC!$C$5:$AJ$67,34,0)</f>
        <v>#N/A</v>
      </c>
      <c r="N65" s="22" t="e">
        <f t="shared" ref="N65:N72" si="45">K65/26*M65</f>
        <v>#N/A</v>
      </c>
      <c r="O65" s="22" t="e">
        <f>VLOOKUP(C65,CC!$C$5:$AM$67,36,0)</f>
        <v>#N/A</v>
      </c>
      <c r="P65" s="22" t="e">
        <f>VLOOKUP(C65,CC!$C$5:$BS$67,69,0)</f>
        <v>#N/A</v>
      </c>
      <c r="Q65" s="22" t="e">
        <f>VLOOKUP(C65,CC!$C$5:$BT$67,70,0)</f>
        <v>#N/A</v>
      </c>
      <c r="R65" s="22" t="e">
        <f>VLOOKUP(C65,CC!$C$5:$AM$67,37,0)</f>
        <v>#N/A</v>
      </c>
      <c r="S65" s="22" t="e">
        <f>VLOOKUP(C65,CC!$C$5:$AM$67,35,0)</f>
        <v>#N/A</v>
      </c>
      <c r="T65" s="22" t="e">
        <f t="shared" ref="T65:T72" si="46">((K65/26)*M65)+(O65*(K65/26))+((P65/8)*1.5*(K65/26))+((Q65/8)*2*K65/26)+(S65*3*(K65/26)+(K65/26)*R65)</f>
        <v>#N/A</v>
      </c>
      <c r="U65" s="22" t="e">
        <f>VLOOKUP(C65,'Công tổng'!$C$53:$BY$67,66,0)-N65</f>
        <v>#N/A</v>
      </c>
      <c r="V65" s="22">
        <f t="shared" ref="V65:V72" si="47">IF((F65-$V$3)&gt;0,F65%*K65,0)</f>
        <v>0</v>
      </c>
      <c r="W65" s="22">
        <f ca="1">(100%-SUMIF('chuyên cần'!$C$6:$AP$31,'Bang luong (chaun)'!C65,'chuyên cần'!$AP$7:$AP$31))*$W$3</f>
        <v>300000</v>
      </c>
      <c r="X65" s="22"/>
      <c r="Y65" s="22"/>
      <c r="Z65" s="22"/>
      <c r="AA65" s="22"/>
      <c r="AB65" s="199">
        <v>0</v>
      </c>
      <c r="AC65" s="106" t="e">
        <f t="shared" ca="1" si="34"/>
        <v>#N/A</v>
      </c>
      <c r="AD65" s="203">
        <f t="shared" si="35"/>
        <v>3745000</v>
      </c>
      <c r="AE65" s="204">
        <f t="shared" si="36"/>
        <v>4213125</v>
      </c>
      <c r="AF65" s="204">
        <v>3932250</v>
      </c>
      <c r="AG65" s="106" t="e">
        <f>'ung luong'!#REF!</f>
        <v>#REF!</v>
      </c>
      <c r="AH65" s="106">
        <f t="shared" si="42"/>
        <v>0</v>
      </c>
      <c r="AI65" s="106" t="e">
        <f t="shared" ca="1" si="43"/>
        <v>#N/A</v>
      </c>
      <c r="AJ65" s="106" t="e">
        <f t="shared" ca="1" si="44"/>
        <v>#N/A</v>
      </c>
      <c r="AK65" s="231"/>
    </row>
    <row r="66" spans="1:37" ht="21" customHeight="1" x14ac:dyDescent="0.2">
      <c r="A66" s="3">
        <f t="shared" si="38"/>
        <v>57</v>
      </c>
      <c r="B66" s="3" t="s">
        <v>605</v>
      </c>
      <c r="C66" s="3" t="s">
        <v>614</v>
      </c>
      <c r="D66" s="3" t="s">
        <v>207</v>
      </c>
      <c r="E66" s="110">
        <v>42419</v>
      </c>
      <c r="F66" s="111">
        <f t="shared" si="20"/>
        <v>0</v>
      </c>
      <c r="G66" s="22">
        <f t="shared" si="1"/>
        <v>3745000</v>
      </c>
      <c r="H66" s="28" t="s">
        <v>667</v>
      </c>
      <c r="I66" s="28">
        <v>1</v>
      </c>
      <c r="J66" s="277">
        <v>3745000</v>
      </c>
      <c r="K66" s="306">
        <f>VLOOKUP(H66,'thang luong moi'!B:I,'Bang luong (chaun)'!I66+1,0)</f>
        <v>4213125</v>
      </c>
      <c r="L66" s="315">
        <f t="shared" si="32"/>
        <v>0.1111111111111111</v>
      </c>
      <c r="M66" s="77" t="e">
        <f>VLOOKUP(C66,CC!$C$5:$AJ$67,34,0)</f>
        <v>#N/A</v>
      </c>
      <c r="N66" s="22" t="e">
        <f t="shared" si="45"/>
        <v>#N/A</v>
      </c>
      <c r="O66" s="22" t="e">
        <f>VLOOKUP(C66,CC!$C$5:$AM$67,36,0)</f>
        <v>#N/A</v>
      </c>
      <c r="P66" s="22" t="e">
        <f>VLOOKUP(C66,CC!$C$5:$BS$67,69,0)</f>
        <v>#N/A</v>
      </c>
      <c r="Q66" s="22" t="e">
        <f>VLOOKUP(C66,CC!$C$5:$BT$67,70,0)</f>
        <v>#N/A</v>
      </c>
      <c r="R66" s="22" t="e">
        <f>VLOOKUP(C66,CC!$C$5:$AM$67,37,0)</f>
        <v>#N/A</v>
      </c>
      <c r="S66" s="22" t="e">
        <f>VLOOKUP(C66,CC!$C$5:$AM$67,35,0)</f>
        <v>#N/A</v>
      </c>
      <c r="T66" s="22" t="e">
        <f t="shared" si="46"/>
        <v>#N/A</v>
      </c>
      <c r="U66" s="22" t="e">
        <f>VLOOKUP(C66,'Công tổng'!$C$53:$BY$67,66,0)-N66</f>
        <v>#N/A</v>
      </c>
      <c r="V66" s="22">
        <f t="shared" si="47"/>
        <v>0</v>
      </c>
      <c r="W66" s="22">
        <f ca="1">(100%-SUMIF('chuyên cần'!$C$6:$AP$31,'Bang luong (chaun)'!C66,'chuyên cần'!$AP$7:$AP$31))*$W$3</f>
        <v>300000</v>
      </c>
      <c r="X66" s="22"/>
      <c r="Y66" s="22"/>
      <c r="Z66" s="22"/>
      <c r="AA66" s="22"/>
      <c r="AB66" s="199">
        <v>0</v>
      </c>
      <c r="AC66" s="106" t="e">
        <f t="shared" ca="1" si="34"/>
        <v>#N/A</v>
      </c>
      <c r="AD66" s="203">
        <f t="shared" si="35"/>
        <v>3745000</v>
      </c>
      <c r="AE66" s="204">
        <f t="shared" si="36"/>
        <v>4213125</v>
      </c>
      <c r="AF66" s="204">
        <v>3932250</v>
      </c>
      <c r="AG66" s="106" t="e">
        <f>'ung luong'!#REF!</f>
        <v>#REF!</v>
      </c>
      <c r="AH66" s="106">
        <f t="shared" si="42"/>
        <v>0</v>
      </c>
      <c r="AI66" s="106" t="e">
        <f t="shared" ca="1" si="43"/>
        <v>#N/A</v>
      </c>
      <c r="AJ66" s="106" t="e">
        <f t="shared" ca="1" si="44"/>
        <v>#N/A</v>
      </c>
      <c r="AK66" s="231"/>
    </row>
    <row r="67" spans="1:37" ht="21" customHeight="1" x14ac:dyDescent="0.2">
      <c r="A67" s="3">
        <f t="shared" si="38"/>
        <v>58</v>
      </c>
      <c r="B67" s="3" t="s">
        <v>606</v>
      </c>
      <c r="C67" s="3" t="s">
        <v>615</v>
      </c>
      <c r="D67" s="3" t="s">
        <v>207</v>
      </c>
      <c r="E67" s="110">
        <v>42419</v>
      </c>
      <c r="F67" s="111">
        <f t="shared" si="20"/>
        <v>0</v>
      </c>
      <c r="G67" s="22">
        <f t="shared" si="1"/>
        <v>3745000</v>
      </c>
      <c r="H67" s="28" t="s">
        <v>667</v>
      </c>
      <c r="I67" s="28">
        <v>1</v>
      </c>
      <c r="J67" s="277">
        <v>3745000</v>
      </c>
      <c r="K67" s="306">
        <f>VLOOKUP(H67,'thang luong moi'!B:I,'Bang luong (chaun)'!I67+1,0)</f>
        <v>4213125</v>
      </c>
      <c r="L67" s="315">
        <f t="shared" si="32"/>
        <v>0.1111111111111111</v>
      </c>
      <c r="M67" s="77" t="e">
        <f>VLOOKUP(C67,CC!$C$5:$AJ$67,34,0)</f>
        <v>#N/A</v>
      </c>
      <c r="N67" s="22" t="e">
        <f t="shared" si="45"/>
        <v>#N/A</v>
      </c>
      <c r="O67" s="22" t="e">
        <f>VLOOKUP(C67,CC!$C$5:$AM$67,36,0)</f>
        <v>#N/A</v>
      </c>
      <c r="P67" s="22" t="e">
        <f>VLOOKUP(C67,CC!$C$5:$BS$67,69,0)</f>
        <v>#N/A</v>
      </c>
      <c r="Q67" s="22" t="e">
        <f>VLOOKUP(C67,CC!$C$5:$BT$67,70,0)</f>
        <v>#N/A</v>
      </c>
      <c r="R67" s="22" t="e">
        <f>VLOOKUP(C67,CC!$C$5:$AM$67,37,0)</f>
        <v>#N/A</v>
      </c>
      <c r="S67" s="22" t="e">
        <f>VLOOKUP(C67,CC!$C$5:$AM$67,35,0)</f>
        <v>#N/A</v>
      </c>
      <c r="T67" s="22" t="e">
        <f t="shared" si="46"/>
        <v>#N/A</v>
      </c>
      <c r="U67" s="22" t="e">
        <f>VLOOKUP(C67,'Công tổng'!$C$53:$BY$67,66,0)-N67</f>
        <v>#N/A</v>
      </c>
      <c r="V67" s="22">
        <f t="shared" si="47"/>
        <v>0</v>
      </c>
      <c r="W67" s="22">
        <f ca="1">(100%-SUMIF('chuyên cần'!$C$6:$AP$31,'Bang luong (chaun)'!C67,'chuyên cần'!$AP$7:$AP$31))*$W$3</f>
        <v>300000</v>
      </c>
      <c r="X67" s="22"/>
      <c r="Y67" s="22"/>
      <c r="Z67" s="22"/>
      <c r="AA67" s="22"/>
      <c r="AB67" s="199">
        <v>0</v>
      </c>
      <c r="AC67" s="106" t="e">
        <f t="shared" ca="1" si="34"/>
        <v>#N/A</v>
      </c>
      <c r="AD67" s="203">
        <f t="shared" si="35"/>
        <v>3745000</v>
      </c>
      <c r="AE67" s="204">
        <f t="shared" si="36"/>
        <v>4213125</v>
      </c>
      <c r="AF67" s="204">
        <v>3932250</v>
      </c>
      <c r="AG67" s="106" t="e">
        <f>'ung luong'!#REF!</f>
        <v>#REF!</v>
      </c>
      <c r="AH67" s="106">
        <f t="shared" si="42"/>
        <v>0</v>
      </c>
      <c r="AI67" s="106" t="e">
        <f t="shared" ca="1" si="43"/>
        <v>#N/A</v>
      </c>
      <c r="AJ67" s="106" t="e">
        <f t="shared" ca="1" si="44"/>
        <v>#N/A</v>
      </c>
      <c r="AK67" s="231"/>
    </row>
    <row r="68" spans="1:37" ht="21" customHeight="1" x14ac:dyDescent="0.2">
      <c r="A68" s="3">
        <f t="shared" si="38"/>
        <v>59</v>
      </c>
      <c r="B68" s="3" t="s">
        <v>607</v>
      </c>
      <c r="C68" s="3" t="s">
        <v>616</v>
      </c>
      <c r="D68" s="3" t="s">
        <v>207</v>
      </c>
      <c r="E68" s="110">
        <v>42419</v>
      </c>
      <c r="F68" s="111">
        <f t="shared" si="20"/>
        <v>0</v>
      </c>
      <c r="G68" s="22">
        <f t="shared" si="1"/>
        <v>3745000</v>
      </c>
      <c r="H68" s="28" t="s">
        <v>667</v>
      </c>
      <c r="I68" s="28">
        <v>1</v>
      </c>
      <c r="J68" s="277">
        <v>3745000</v>
      </c>
      <c r="K68" s="306">
        <f>VLOOKUP(H68,'thang luong moi'!B:I,'Bang luong (chaun)'!I68+1,0)</f>
        <v>4213125</v>
      </c>
      <c r="L68" s="315">
        <f t="shared" si="32"/>
        <v>0.1111111111111111</v>
      </c>
      <c r="M68" s="77" t="e">
        <f>VLOOKUP(C68,CC!$C$5:$AJ$67,34,0)</f>
        <v>#N/A</v>
      </c>
      <c r="N68" s="22" t="e">
        <f t="shared" si="45"/>
        <v>#N/A</v>
      </c>
      <c r="O68" s="22" t="e">
        <f>VLOOKUP(C68,CC!$C$5:$AM$67,36,0)</f>
        <v>#N/A</v>
      </c>
      <c r="P68" s="22" t="e">
        <f>VLOOKUP(C68,CC!$C$5:$BS$67,69,0)</f>
        <v>#N/A</v>
      </c>
      <c r="Q68" s="22" t="e">
        <f>VLOOKUP(C68,CC!$C$5:$BT$67,70,0)</f>
        <v>#N/A</v>
      </c>
      <c r="R68" s="22" t="e">
        <f>VLOOKUP(C68,CC!$C$5:$AM$67,37,0)</f>
        <v>#N/A</v>
      </c>
      <c r="S68" s="22" t="e">
        <f>VLOOKUP(C68,CC!$C$5:$AM$67,35,0)</f>
        <v>#N/A</v>
      </c>
      <c r="T68" s="22" t="e">
        <f t="shared" si="46"/>
        <v>#N/A</v>
      </c>
      <c r="U68" s="22" t="e">
        <f>VLOOKUP(C68,'Công tổng'!$C$53:$BY$67,66,0)-N68</f>
        <v>#N/A</v>
      </c>
      <c r="V68" s="22">
        <f t="shared" si="47"/>
        <v>0</v>
      </c>
      <c r="W68" s="22">
        <f ca="1">(100%-SUMIF('chuyên cần'!$C$6:$AP$31,'Bang luong (chaun)'!C68,'chuyên cần'!$AP$7:$AP$31))*$W$3</f>
        <v>300000</v>
      </c>
      <c r="X68" s="22"/>
      <c r="Y68" s="22"/>
      <c r="Z68" s="22"/>
      <c r="AA68" s="22"/>
      <c r="AB68" s="199">
        <v>0</v>
      </c>
      <c r="AC68" s="106" t="e">
        <f t="shared" ca="1" si="34"/>
        <v>#N/A</v>
      </c>
      <c r="AD68" s="203">
        <f t="shared" si="35"/>
        <v>3745000</v>
      </c>
      <c r="AE68" s="204">
        <f t="shared" si="36"/>
        <v>4213125</v>
      </c>
      <c r="AF68" s="204">
        <v>3932250</v>
      </c>
      <c r="AG68" s="106" t="e">
        <f>'ung luong'!#REF!</f>
        <v>#REF!</v>
      </c>
      <c r="AH68" s="106">
        <f t="shared" si="42"/>
        <v>0</v>
      </c>
      <c r="AI68" s="106" t="e">
        <f t="shared" ca="1" si="43"/>
        <v>#N/A</v>
      </c>
      <c r="AJ68" s="106" t="e">
        <f t="shared" ca="1" si="44"/>
        <v>#N/A</v>
      </c>
      <c r="AK68" s="231"/>
    </row>
    <row r="69" spans="1:37" ht="21" customHeight="1" x14ac:dyDescent="0.2">
      <c r="A69" s="3">
        <f t="shared" si="38"/>
        <v>60</v>
      </c>
      <c r="B69" s="3" t="s">
        <v>608</v>
      </c>
      <c r="C69" s="3" t="s">
        <v>617</v>
      </c>
      <c r="D69" s="3" t="s">
        <v>207</v>
      </c>
      <c r="E69" s="110">
        <v>42420</v>
      </c>
      <c r="F69" s="111">
        <f t="shared" si="20"/>
        <v>0</v>
      </c>
      <c r="G69" s="22">
        <f t="shared" si="1"/>
        <v>3745000</v>
      </c>
      <c r="H69" s="28" t="s">
        <v>667</v>
      </c>
      <c r="I69" s="28">
        <v>1</v>
      </c>
      <c r="J69" s="277">
        <v>3745000</v>
      </c>
      <c r="K69" s="306">
        <f>VLOOKUP(H69,'thang luong moi'!B:I,'Bang luong (chaun)'!I69+1,0)</f>
        <v>4213125</v>
      </c>
      <c r="L69" s="315">
        <f t="shared" si="32"/>
        <v>0.1111111111111111</v>
      </c>
      <c r="M69" s="77" t="e">
        <f>VLOOKUP(C69,CC!$C$5:$AJ$67,34,0)</f>
        <v>#N/A</v>
      </c>
      <c r="N69" s="22" t="e">
        <f t="shared" si="45"/>
        <v>#N/A</v>
      </c>
      <c r="O69" s="22" t="e">
        <f>VLOOKUP(C69,CC!$C$5:$AM$67,36,0)</f>
        <v>#N/A</v>
      </c>
      <c r="P69" s="22" t="e">
        <f>VLOOKUP(C69,CC!$C$5:$BS$67,69,0)</f>
        <v>#N/A</v>
      </c>
      <c r="Q69" s="22" t="e">
        <f>VLOOKUP(C69,CC!$C$5:$BT$67,70,0)</f>
        <v>#N/A</v>
      </c>
      <c r="R69" s="22" t="e">
        <f>VLOOKUP(C69,CC!$C$5:$AM$67,37,0)</f>
        <v>#N/A</v>
      </c>
      <c r="S69" s="22" t="e">
        <f>VLOOKUP(C69,CC!$C$5:$AM$67,35,0)</f>
        <v>#N/A</v>
      </c>
      <c r="T69" s="22" t="e">
        <f t="shared" si="46"/>
        <v>#N/A</v>
      </c>
      <c r="U69" s="22" t="e">
        <f>VLOOKUP(C69,'Công tổng'!$C$53:$BY$67,66,0)-N69</f>
        <v>#N/A</v>
      </c>
      <c r="V69" s="22">
        <f t="shared" si="47"/>
        <v>0</v>
      </c>
      <c r="W69" s="22">
        <f ca="1">(100%-SUMIF('chuyên cần'!$C$6:$AP$31,'Bang luong (chaun)'!C69,'chuyên cần'!$AP$7:$AP$31))*$W$3</f>
        <v>300000</v>
      </c>
      <c r="X69" s="22"/>
      <c r="Y69" s="22"/>
      <c r="Z69" s="22"/>
      <c r="AA69" s="22"/>
      <c r="AB69" s="199">
        <v>0</v>
      </c>
      <c r="AC69" s="106" t="e">
        <f t="shared" ca="1" si="34"/>
        <v>#N/A</v>
      </c>
      <c r="AD69" s="203">
        <f t="shared" si="35"/>
        <v>3745000</v>
      </c>
      <c r="AE69" s="204">
        <f t="shared" si="36"/>
        <v>4213125</v>
      </c>
      <c r="AF69" s="204">
        <v>3932250</v>
      </c>
      <c r="AG69" s="106" t="e">
        <f>'ung luong'!#REF!</f>
        <v>#REF!</v>
      </c>
      <c r="AH69" s="106">
        <f t="shared" si="42"/>
        <v>0</v>
      </c>
      <c r="AI69" s="106" t="e">
        <f t="shared" ca="1" si="43"/>
        <v>#N/A</v>
      </c>
      <c r="AJ69" s="106" t="e">
        <f t="shared" ca="1" si="44"/>
        <v>#N/A</v>
      </c>
      <c r="AK69" s="231"/>
    </row>
    <row r="70" spans="1:37" ht="21" customHeight="1" x14ac:dyDescent="0.2">
      <c r="A70" s="3">
        <f t="shared" si="38"/>
        <v>61</v>
      </c>
      <c r="B70" s="3" t="s">
        <v>609</v>
      </c>
      <c r="C70" s="3" t="s">
        <v>618</v>
      </c>
      <c r="D70" s="3" t="s">
        <v>207</v>
      </c>
      <c r="E70" s="110">
        <v>42422</v>
      </c>
      <c r="F70" s="111">
        <f t="shared" si="20"/>
        <v>0</v>
      </c>
      <c r="G70" s="22">
        <f t="shared" si="1"/>
        <v>3745000</v>
      </c>
      <c r="H70" s="28" t="s">
        <v>667</v>
      </c>
      <c r="I70" s="28">
        <v>1</v>
      </c>
      <c r="J70" s="277">
        <v>3745000</v>
      </c>
      <c r="K70" s="306">
        <f>VLOOKUP(H70,'thang luong moi'!B:I,'Bang luong (chaun)'!I70+1,0)</f>
        <v>4213125</v>
      </c>
      <c r="L70" s="315">
        <f t="shared" si="32"/>
        <v>0.1111111111111111</v>
      </c>
      <c r="M70" s="77" t="e">
        <f>VLOOKUP(C70,CC!$C$5:$AJ$67,34,0)</f>
        <v>#N/A</v>
      </c>
      <c r="N70" s="22" t="e">
        <f t="shared" si="45"/>
        <v>#N/A</v>
      </c>
      <c r="O70" s="22" t="e">
        <f>VLOOKUP(C70,CC!$C$5:$AM$67,36,0)</f>
        <v>#N/A</v>
      </c>
      <c r="P70" s="22" t="e">
        <f>VLOOKUP(C70,CC!$C$5:$BS$67,69,0)</f>
        <v>#N/A</v>
      </c>
      <c r="Q70" s="22" t="e">
        <f>VLOOKUP(C70,CC!$C$5:$BT$67,70,0)</f>
        <v>#N/A</v>
      </c>
      <c r="R70" s="22" t="e">
        <f>VLOOKUP(C70,CC!$C$5:$AM$67,37,0)</f>
        <v>#N/A</v>
      </c>
      <c r="S70" s="22" t="e">
        <f>VLOOKUP(C70,CC!$C$5:$AM$67,35,0)</f>
        <v>#N/A</v>
      </c>
      <c r="T70" s="22" t="e">
        <f t="shared" si="46"/>
        <v>#N/A</v>
      </c>
      <c r="U70" s="22" t="e">
        <f>VLOOKUP(C70,'Công tổng'!$C$53:$BY$67,66,0)-N70</f>
        <v>#N/A</v>
      </c>
      <c r="V70" s="22">
        <f t="shared" si="47"/>
        <v>0</v>
      </c>
      <c r="W70" s="22">
        <f ca="1">(100%-SUMIF('chuyên cần'!$C$6:$AP$31,'Bang luong (chaun)'!C70,'chuyên cần'!$AP$7:$AP$31))*$W$3</f>
        <v>300000</v>
      </c>
      <c r="X70" s="22"/>
      <c r="Y70" s="22"/>
      <c r="Z70" s="22"/>
      <c r="AA70" s="22"/>
      <c r="AB70" s="199">
        <v>0</v>
      </c>
      <c r="AC70" s="106" t="e">
        <f t="shared" ca="1" si="34"/>
        <v>#N/A</v>
      </c>
      <c r="AD70" s="203">
        <f t="shared" si="35"/>
        <v>3745000</v>
      </c>
      <c r="AE70" s="204">
        <f t="shared" si="36"/>
        <v>4213125</v>
      </c>
      <c r="AF70" s="204">
        <v>3932250</v>
      </c>
      <c r="AG70" s="106" t="e">
        <f>'ung luong'!#REF!</f>
        <v>#REF!</v>
      </c>
      <c r="AH70" s="106">
        <f t="shared" si="42"/>
        <v>0</v>
      </c>
      <c r="AI70" s="106" t="e">
        <f t="shared" ca="1" si="43"/>
        <v>#N/A</v>
      </c>
      <c r="AJ70" s="106" t="e">
        <f t="shared" ca="1" si="44"/>
        <v>#N/A</v>
      </c>
      <c r="AK70" s="231"/>
    </row>
    <row r="71" spans="1:37" ht="21" customHeight="1" x14ac:dyDescent="0.2">
      <c r="A71" s="3">
        <f t="shared" si="38"/>
        <v>62</v>
      </c>
      <c r="B71" s="3" t="s">
        <v>610</v>
      </c>
      <c r="C71" s="3" t="s">
        <v>619</v>
      </c>
      <c r="D71" s="3" t="s">
        <v>207</v>
      </c>
      <c r="E71" s="110">
        <v>42422</v>
      </c>
      <c r="F71" s="111">
        <f t="shared" si="20"/>
        <v>0</v>
      </c>
      <c r="G71" s="22">
        <f t="shared" si="1"/>
        <v>3745000</v>
      </c>
      <c r="H71" s="28" t="s">
        <v>667</v>
      </c>
      <c r="I71" s="28">
        <v>1</v>
      </c>
      <c r="J71" s="277">
        <v>3745000</v>
      </c>
      <c r="K71" s="306">
        <f>VLOOKUP(H71,'thang luong moi'!B:I,'Bang luong (chaun)'!I71+1,0)</f>
        <v>4213125</v>
      </c>
      <c r="L71" s="315">
        <f t="shared" si="32"/>
        <v>0.1111111111111111</v>
      </c>
      <c r="M71" s="77" t="e">
        <f>VLOOKUP(C71,CC!$C$5:$AJ$67,34,0)</f>
        <v>#N/A</v>
      </c>
      <c r="N71" s="22" t="e">
        <f t="shared" si="45"/>
        <v>#N/A</v>
      </c>
      <c r="O71" s="22" t="e">
        <f>VLOOKUP(C71,CC!$C$5:$AM$67,36,0)</f>
        <v>#N/A</v>
      </c>
      <c r="P71" s="22" t="e">
        <f>VLOOKUP(C71,CC!$C$5:$BS$67,69,0)</f>
        <v>#N/A</v>
      </c>
      <c r="Q71" s="22" t="e">
        <f>VLOOKUP(C71,CC!$C$5:$BT$67,70,0)</f>
        <v>#N/A</v>
      </c>
      <c r="R71" s="22" t="e">
        <f>VLOOKUP(C71,CC!$C$5:$AM$67,37,0)</f>
        <v>#N/A</v>
      </c>
      <c r="S71" s="22" t="e">
        <f>VLOOKUP(C71,CC!$C$5:$AM$67,35,0)</f>
        <v>#N/A</v>
      </c>
      <c r="T71" s="22" t="e">
        <f t="shared" si="46"/>
        <v>#N/A</v>
      </c>
      <c r="U71" s="22" t="e">
        <f>VLOOKUP(C71,'Công tổng'!$C$53:$BY$67,66,0)-N71</f>
        <v>#N/A</v>
      </c>
      <c r="V71" s="22">
        <f t="shared" si="47"/>
        <v>0</v>
      </c>
      <c r="W71" s="22">
        <f ca="1">(100%-SUMIF('chuyên cần'!$C$6:$AP$31,'Bang luong (chaun)'!C71,'chuyên cần'!$AP$7:$AP$31))*$W$3</f>
        <v>300000</v>
      </c>
      <c r="X71" s="22"/>
      <c r="Y71" s="22"/>
      <c r="Z71" s="22"/>
      <c r="AA71" s="22"/>
      <c r="AB71" s="199">
        <v>0</v>
      </c>
      <c r="AC71" s="106" t="e">
        <f t="shared" ca="1" si="34"/>
        <v>#N/A</v>
      </c>
      <c r="AD71" s="203">
        <f t="shared" si="35"/>
        <v>3745000</v>
      </c>
      <c r="AE71" s="204">
        <f t="shared" si="36"/>
        <v>4213125</v>
      </c>
      <c r="AF71" s="204">
        <v>3932250</v>
      </c>
      <c r="AG71" s="106" t="e">
        <f>'ung luong'!#REF!</f>
        <v>#REF!</v>
      </c>
      <c r="AH71" s="106">
        <f t="shared" si="42"/>
        <v>0</v>
      </c>
      <c r="AI71" s="106" t="e">
        <f t="shared" ca="1" si="43"/>
        <v>#N/A</v>
      </c>
      <c r="AJ71" s="106" t="e">
        <f t="shared" ca="1" si="44"/>
        <v>#N/A</v>
      </c>
      <c r="AK71" s="231"/>
    </row>
    <row r="72" spans="1:37" ht="21" customHeight="1" x14ac:dyDescent="0.2">
      <c r="A72" s="3">
        <f t="shared" si="38"/>
        <v>63</v>
      </c>
      <c r="B72" s="3" t="s">
        <v>611</v>
      </c>
      <c r="C72" s="3" t="s">
        <v>620</v>
      </c>
      <c r="D72" s="3" t="s">
        <v>207</v>
      </c>
      <c r="E72" s="110">
        <v>42422</v>
      </c>
      <c r="F72" s="111">
        <f t="shared" si="20"/>
        <v>0</v>
      </c>
      <c r="G72" s="22">
        <f t="shared" si="1"/>
        <v>3745000</v>
      </c>
      <c r="H72" s="28" t="s">
        <v>667</v>
      </c>
      <c r="I72" s="28">
        <v>1</v>
      </c>
      <c r="J72" s="277">
        <v>3745000</v>
      </c>
      <c r="K72" s="306">
        <f>VLOOKUP(H72,'thang luong moi'!B:I,'Bang luong (chaun)'!I72+1,0)</f>
        <v>4213125</v>
      </c>
      <c r="L72" s="315">
        <f t="shared" si="32"/>
        <v>0.1111111111111111</v>
      </c>
      <c r="M72" s="77">
        <f>VLOOKUP(C72,CC!$C$5:$AJ$67,34,0)</f>
        <v>26</v>
      </c>
      <c r="N72" s="22">
        <f t="shared" si="45"/>
        <v>4213125</v>
      </c>
      <c r="O72" s="22">
        <f>VLOOKUP(C72,CC!$C$5:$AM$67,36,0)</f>
        <v>0</v>
      </c>
      <c r="P72" s="22">
        <f>VLOOKUP(C72,CC!$C$5:$BS$67,69,0)</f>
        <v>21</v>
      </c>
      <c r="Q72" s="22">
        <f>VLOOKUP(C72,CC!$C$5:$BT$67,70,0)</f>
        <v>16</v>
      </c>
      <c r="R72" s="22">
        <f>VLOOKUP(C72,CC!$C$5:$AM$67,37,0)</f>
        <v>1</v>
      </c>
      <c r="S72" s="22">
        <f>VLOOKUP(C72,CC!$C$5:$AM$67,35,0)</f>
        <v>0</v>
      </c>
      <c r="T72" s="22">
        <f t="shared" si="46"/>
        <v>5661386.71875</v>
      </c>
      <c r="U72" s="22">
        <f>VLOOKUP(C72,'Công tổng'!$C$53:$BY$67,66,0)-N72</f>
        <v>-4213125</v>
      </c>
      <c r="V72" s="22">
        <f t="shared" si="47"/>
        <v>0</v>
      </c>
      <c r="W72" s="22">
        <f ca="1">(100%-SUMIF('chuyên cần'!$C$6:$AP$31,'Bang luong (chaun)'!C72,'chuyên cần'!$AP$7:$AP$31))*$W$3</f>
        <v>300000</v>
      </c>
      <c r="X72" s="22"/>
      <c r="Y72" s="22"/>
      <c r="Z72" s="22"/>
      <c r="AA72" s="22"/>
      <c r="AB72" s="199">
        <v>0</v>
      </c>
      <c r="AC72" s="106">
        <f t="shared" ca="1" si="34"/>
        <v>1748261.71875</v>
      </c>
      <c r="AD72" s="203">
        <f t="shared" si="35"/>
        <v>3745000</v>
      </c>
      <c r="AE72" s="204">
        <f t="shared" si="36"/>
        <v>4213125</v>
      </c>
      <c r="AF72" s="204">
        <v>3932250</v>
      </c>
      <c r="AG72" s="106" t="e">
        <f>'ung luong'!#REF!</f>
        <v>#REF!</v>
      </c>
      <c r="AH72" s="106">
        <f t="shared" si="42"/>
        <v>0</v>
      </c>
      <c r="AI72" s="106" t="e">
        <f t="shared" ca="1" si="43"/>
        <v>#REF!</v>
      </c>
      <c r="AJ72" s="106" t="e">
        <f t="shared" ca="1" si="44"/>
        <v>#REF!</v>
      </c>
      <c r="AK72" s="231"/>
    </row>
    <row r="73" spans="1:37" ht="21" customHeight="1" x14ac:dyDescent="0.2">
      <c r="A73" s="3">
        <f t="shared" si="38"/>
        <v>64</v>
      </c>
      <c r="B73" s="3" t="s">
        <v>612</v>
      </c>
      <c r="C73" s="3" t="s">
        <v>621</v>
      </c>
      <c r="D73" s="3" t="s">
        <v>207</v>
      </c>
      <c r="E73" s="110">
        <v>42423</v>
      </c>
      <c r="F73" s="111">
        <f t="shared" si="20"/>
        <v>0</v>
      </c>
      <c r="G73" s="22">
        <f t="shared" si="1"/>
        <v>3745000</v>
      </c>
      <c r="H73" s="28" t="s">
        <v>667</v>
      </c>
      <c r="I73" s="28">
        <v>1</v>
      </c>
      <c r="J73" s="277">
        <v>3745000</v>
      </c>
      <c r="K73" s="306">
        <f>VLOOKUP(H73,'thang luong moi'!B:I,'Bang luong (chaun)'!I73+1,0)</f>
        <v>4213125</v>
      </c>
      <c r="L73" s="315">
        <f t="shared" si="32"/>
        <v>0.1111111111111111</v>
      </c>
      <c r="M73" s="77" t="e">
        <f>VLOOKUP(C73,CC!$C$5:$AJ$67,34,0)</f>
        <v>#N/A</v>
      </c>
      <c r="N73" s="22" t="e">
        <f t="shared" ref="N73:N79" si="48">K73/26*M73</f>
        <v>#N/A</v>
      </c>
      <c r="O73" s="22" t="e">
        <f>VLOOKUP(C73,CC!$C$5:$AM$67,36,0)</f>
        <v>#N/A</v>
      </c>
      <c r="P73" s="22" t="e">
        <f>VLOOKUP(C73,CC!$C$5:$BS$67,69,0)</f>
        <v>#N/A</v>
      </c>
      <c r="Q73" s="22" t="e">
        <f>VLOOKUP(C73,CC!$C$5:$BT$67,70,0)</f>
        <v>#N/A</v>
      </c>
      <c r="R73" s="22" t="e">
        <f>VLOOKUP(C73,CC!$C$5:$AM$67,37,0)</f>
        <v>#N/A</v>
      </c>
      <c r="S73" s="22" t="e">
        <f>VLOOKUP(C73,CC!$C$5:$AM$67,35,0)</f>
        <v>#N/A</v>
      </c>
      <c r="T73" s="22" t="e">
        <f t="shared" ref="T73:T79" si="49">((K73/26)*M73)+(O73*(K73/26))+((P73/8)*1.5*(K73/26))+((Q73/8)*2*K73/26)+(S73*3*(K73/26)+(K73/26)*R73)</f>
        <v>#N/A</v>
      </c>
      <c r="U73" s="22" t="e">
        <f>VLOOKUP(C73,'Công tổng'!$C$53:$BY$67,66,0)-N73</f>
        <v>#N/A</v>
      </c>
      <c r="V73" s="22">
        <f t="shared" ref="V73:V79" si="50">IF((F73-$V$3)&gt;0,F73%*K73,0)</f>
        <v>0</v>
      </c>
      <c r="W73" s="22">
        <f ca="1">(100%-SUMIF('chuyên cần'!$C$6:$AP$31,'Bang luong (chaun)'!C73,'chuyên cần'!$AP$7:$AP$31))*$W$3</f>
        <v>300000</v>
      </c>
      <c r="X73" s="22"/>
      <c r="Y73" s="22"/>
      <c r="Z73" s="22"/>
      <c r="AA73" s="22"/>
      <c r="AB73" s="199">
        <v>0</v>
      </c>
      <c r="AC73" s="106" t="e">
        <f t="shared" ca="1" si="34"/>
        <v>#N/A</v>
      </c>
      <c r="AD73" s="203">
        <f t="shared" si="35"/>
        <v>3745000</v>
      </c>
      <c r="AE73" s="204">
        <f t="shared" si="36"/>
        <v>4213125</v>
      </c>
      <c r="AF73" s="204">
        <v>3932250</v>
      </c>
      <c r="AG73" s="106" t="e">
        <f>'ung luong'!#REF!</f>
        <v>#REF!</v>
      </c>
      <c r="AH73" s="106">
        <f t="shared" ref="AH73:AH79" si="51">AM73*$AH$2</f>
        <v>0</v>
      </c>
      <c r="AI73" s="106" t="e">
        <f t="shared" ref="AI73:AI79" ca="1" si="52">AC73-AG73-AH73</f>
        <v>#N/A</v>
      </c>
      <c r="AJ73" s="106" t="e">
        <f t="shared" ref="AJ73:AJ79" ca="1" si="53">ROUND(AI73,-3)</f>
        <v>#N/A</v>
      </c>
      <c r="AK73" s="231"/>
    </row>
    <row r="74" spans="1:37" ht="21" customHeight="1" x14ac:dyDescent="0.2">
      <c r="A74" s="3">
        <f t="shared" si="38"/>
        <v>65</v>
      </c>
      <c r="B74" s="3" t="s">
        <v>613</v>
      </c>
      <c r="C74" s="3" t="s">
        <v>622</v>
      </c>
      <c r="D74" s="3" t="s">
        <v>207</v>
      </c>
      <c r="E74" s="110">
        <v>42424</v>
      </c>
      <c r="F74" s="111">
        <f t="shared" si="20"/>
        <v>0</v>
      </c>
      <c r="G74" s="22">
        <f t="shared" si="1"/>
        <v>3745000</v>
      </c>
      <c r="H74" s="28" t="s">
        <v>667</v>
      </c>
      <c r="I74" s="28">
        <v>1</v>
      </c>
      <c r="J74" s="277">
        <v>3745000</v>
      </c>
      <c r="K74" s="306">
        <f>VLOOKUP(H74,'thang luong moi'!B:I,'Bang luong (chaun)'!I74+1,0)</f>
        <v>4213125</v>
      </c>
      <c r="L74" s="315">
        <f t="shared" si="32"/>
        <v>0.1111111111111111</v>
      </c>
      <c r="M74" s="77" t="e">
        <f>VLOOKUP(C74,CC!$C$5:$AJ$67,34,0)</f>
        <v>#N/A</v>
      </c>
      <c r="N74" s="22" t="e">
        <f t="shared" si="48"/>
        <v>#N/A</v>
      </c>
      <c r="O74" s="22" t="e">
        <f>VLOOKUP(C74,CC!$C$5:$AM$67,36,0)</f>
        <v>#N/A</v>
      </c>
      <c r="P74" s="22" t="e">
        <f>VLOOKUP(C74,CC!$C$5:$BS$67,69,0)</f>
        <v>#N/A</v>
      </c>
      <c r="Q74" s="22" t="e">
        <f>VLOOKUP(C74,CC!$C$5:$BT$67,70,0)</f>
        <v>#N/A</v>
      </c>
      <c r="R74" s="22" t="e">
        <f>VLOOKUP(C74,CC!$C$5:$AM$67,37,0)</f>
        <v>#N/A</v>
      </c>
      <c r="S74" s="22" t="e">
        <f>VLOOKUP(C74,CC!$C$5:$AM$67,35,0)</f>
        <v>#N/A</v>
      </c>
      <c r="T74" s="22" t="e">
        <f t="shared" si="49"/>
        <v>#N/A</v>
      </c>
      <c r="U74" s="22" t="e">
        <f>VLOOKUP(C74,'Công tổng'!$C$53:$BY$67,66,0)-N74</f>
        <v>#N/A</v>
      </c>
      <c r="V74" s="22">
        <f t="shared" si="50"/>
        <v>0</v>
      </c>
      <c r="W74" s="22">
        <f ca="1">(100%-SUMIF('chuyên cần'!$C$6:$AP$31,'Bang luong (chaun)'!C74,'chuyên cần'!$AP$7:$AP$31))*$W$3</f>
        <v>300000</v>
      </c>
      <c r="X74" s="22"/>
      <c r="Y74" s="22"/>
      <c r="Z74" s="22"/>
      <c r="AA74" s="22"/>
      <c r="AB74" s="199">
        <v>0</v>
      </c>
      <c r="AC74" s="106" t="e">
        <f t="shared" ca="1" si="34"/>
        <v>#N/A</v>
      </c>
      <c r="AD74" s="203">
        <f t="shared" si="35"/>
        <v>3745000</v>
      </c>
      <c r="AE74" s="204">
        <f t="shared" si="36"/>
        <v>4213125</v>
      </c>
      <c r="AF74" s="204">
        <v>3932250</v>
      </c>
      <c r="AG74" s="106" t="e">
        <f>'ung luong'!#REF!</f>
        <v>#REF!</v>
      </c>
      <c r="AH74" s="106">
        <f t="shared" si="51"/>
        <v>0</v>
      </c>
      <c r="AI74" s="106" t="e">
        <f t="shared" ca="1" si="52"/>
        <v>#N/A</v>
      </c>
      <c r="AJ74" s="106" t="e">
        <f t="shared" ca="1" si="53"/>
        <v>#N/A</v>
      </c>
      <c r="AK74" s="231"/>
    </row>
    <row r="75" spans="1:37" ht="21" customHeight="1" x14ac:dyDescent="0.2">
      <c r="A75" s="3">
        <f t="shared" si="38"/>
        <v>66</v>
      </c>
      <c r="B75" s="3" t="s">
        <v>623</v>
      </c>
      <c r="C75" s="3" t="s">
        <v>625</v>
      </c>
      <c r="D75" s="3" t="s">
        <v>207</v>
      </c>
      <c r="E75" s="110">
        <v>42425</v>
      </c>
      <c r="F75" s="111">
        <f t="shared" si="20"/>
        <v>0</v>
      </c>
      <c r="G75" s="22">
        <f t="shared" si="1"/>
        <v>3745000</v>
      </c>
      <c r="H75" s="28" t="s">
        <v>667</v>
      </c>
      <c r="I75" s="28">
        <v>1</v>
      </c>
      <c r="J75" s="277">
        <v>3745000</v>
      </c>
      <c r="K75" s="306">
        <f>VLOOKUP(H75,'thang luong moi'!B:I,'Bang luong (chaun)'!I75+1,0)</f>
        <v>4213125</v>
      </c>
      <c r="L75" s="315">
        <f t="shared" si="32"/>
        <v>0.1111111111111111</v>
      </c>
      <c r="M75" s="77" t="e">
        <f>VLOOKUP(C75,CC!$C$5:$AJ$67,34,0)</f>
        <v>#N/A</v>
      </c>
      <c r="N75" s="22" t="e">
        <f t="shared" si="48"/>
        <v>#N/A</v>
      </c>
      <c r="O75" s="22" t="e">
        <f>VLOOKUP(C75,CC!$C$5:$AM$67,36,0)</f>
        <v>#N/A</v>
      </c>
      <c r="P75" s="22" t="e">
        <f>VLOOKUP(C75,CC!$C$5:$BS$67,69,0)</f>
        <v>#N/A</v>
      </c>
      <c r="Q75" s="22" t="e">
        <f>VLOOKUP(C75,CC!$C$5:$BT$67,70,0)</f>
        <v>#N/A</v>
      </c>
      <c r="R75" s="22" t="e">
        <f>VLOOKUP(C75,CC!$C$5:$AM$67,37,0)</f>
        <v>#N/A</v>
      </c>
      <c r="S75" s="22" t="e">
        <f>VLOOKUP(C75,CC!$C$5:$AM$67,35,0)</f>
        <v>#N/A</v>
      </c>
      <c r="T75" s="22" t="e">
        <f t="shared" si="49"/>
        <v>#N/A</v>
      </c>
      <c r="U75" s="22" t="e">
        <f>VLOOKUP(C75,'Công tổng'!$C$53:$BY$67,66,0)-N75</f>
        <v>#N/A</v>
      </c>
      <c r="V75" s="22">
        <f t="shared" si="50"/>
        <v>0</v>
      </c>
      <c r="W75" s="22">
        <f ca="1">(100%-SUMIF('chuyên cần'!$C$6:$AP$31,'Bang luong (chaun)'!C75,'chuyên cần'!$AP$7:$AP$31))*$W$3</f>
        <v>300000</v>
      </c>
      <c r="X75" s="22"/>
      <c r="Y75" s="22"/>
      <c r="Z75" s="22"/>
      <c r="AA75" s="22"/>
      <c r="AB75" s="199">
        <v>0</v>
      </c>
      <c r="AC75" s="106" t="e">
        <f t="shared" ca="1" si="34"/>
        <v>#N/A</v>
      </c>
      <c r="AD75" s="203">
        <f t="shared" si="35"/>
        <v>3745000</v>
      </c>
      <c r="AE75" s="204">
        <f t="shared" si="36"/>
        <v>4213125</v>
      </c>
      <c r="AF75" s="204">
        <v>3932250</v>
      </c>
      <c r="AG75" s="106" t="e">
        <f>'ung luong'!#REF!</f>
        <v>#REF!</v>
      </c>
      <c r="AH75" s="106">
        <f t="shared" si="51"/>
        <v>0</v>
      </c>
      <c r="AI75" s="106" t="e">
        <f t="shared" ca="1" si="52"/>
        <v>#N/A</v>
      </c>
      <c r="AJ75" s="106" t="e">
        <f t="shared" ca="1" si="53"/>
        <v>#N/A</v>
      </c>
      <c r="AK75" s="231"/>
    </row>
    <row r="76" spans="1:37" ht="21" customHeight="1" x14ac:dyDescent="0.2">
      <c r="A76" s="3">
        <f t="shared" si="38"/>
        <v>67</v>
      </c>
      <c r="B76" s="3" t="s">
        <v>624</v>
      </c>
      <c r="C76" s="3" t="s">
        <v>626</v>
      </c>
      <c r="D76" s="3" t="s">
        <v>207</v>
      </c>
      <c r="E76" s="110">
        <v>42425</v>
      </c>
      <c r="F76" s="111">
        <f t="shared" si="20"/>
        <v>0</v>
      </c>
      <c r="G76" s="22">
        <f>$G$3</f>
        <v>3745000</v>
      </c>
      <c r="H76" s="28" t="s">
        <v>667</v>
      </c>
      <c r="I76" s="28">
        <v>1</v>
      </c>
      <c r="J76" s="277">
        <v>3745000</v>
      </c>
      <c r="K76" s="306">
        <f>VLOOKUP(H76,'thang luong moi'!B:I,'Bang luong (chaun)'!I76+1,0)</f>
        <v>4213125</v>
      </c>
      <c r="L76" s="315">
        <f t="shared" si="32"/>
        <v>0.1111111111111111</v>
      </c>
      <c r="M76" s="77" t="e">
        <f>VLOOKUP(C76,CC!$C$5:$AJ$67,34,0)</f>
        <v>#N/A</v>
      </c>
      <c r="N76" s="22" t="e">
        <f t="shared" si="48"/>
        <v>#N/A</v>
      </c>
      <c r="O76" s="22" t="e">
        <f>VLOOKUP(C76,CC!$C$5:$AM$67,36,0)</f>
        <v>#N/A</v>
      </c>
      <c r="P76" s="22" t="e">
        <f>VLOOKUP(C76,CC!$C$5:$BS$67,69,0)</f>
        <v>#N/A</v>
      </c>
      <c r="Q76" s="22" t="e">
        <f>VLOOKUP(C76,CC!$C$5:$BT$67,70,0)</f>
        <v>#N/A</v>
      </c>
      <c r="R76" s="22" t="e">
        <f>VLOOKUP(C76,CC!$C$5:$AM$67,37,0)</f>
        <v>#N/A</v>
      </c>
      <c r="S76" s="22" t="e">
        <f>VLOOKUP(C76,CC!$C$5:$AM$67,35,0)</f>
        <v>#N/A</v>
      </c>
      <c r="T76" s="22" t="e">
        <f t="shared" si="49"/>
        <v>#N/A</v>
      </c>
      <c r="U76" s="22" t="e">
        <f>VLOOKUP(C76,'Công tổng'!$C$53:$BY$67,66,0)-N76</f>
        <v>#N/A</v>
      </c>
      <c r="V76" s="22">
        <f t="shared" si="50"/>
        <v>0</v>
      </c>
      <c r="W76" s="22">
        <f ca="1">(100%-SUMIF('chuyên cần'!$C$6:$AP$31,'Bang luong (chaun)'!C76,'chuyên cần'!$AP$7:$AP$31))*$W$3</f>
        <v>300000</v>
      </c>
      <c r="X76" s="22"/>
      <c r="Y76" s="22"/>
      <c r="Z76" s="22"/>
      <c r="AA76" s="22"/>
      <c r="AB76" s="199">
        <v>0</v>
      </c>
      <c r="AC76" s="106" t="e">
        <f t="shared" ca="1" si="34"/>
        <v>#N/A</v>
      </c>
      <c r="AD76" s="203">
        <f t="shared" si="35"/>
        <v>3745000</v>
      </c>
      <c r="AE76" s="204">
        <f t="shared" si="36"/>
        <v>4213125</v>
      </c>
      <c r="AF76" s="204">
        <v>3932250</v>
      </c>
      <c r="AG76" s="106" t="e">
        <f>'ung luong'!#REF!</f>
        <v>#REF!</v>
      </c>
      <c r="AH76" s="106">
        <f t="shared" si="51"/>
        <v>0</v>
      </c>
      <c r="AI76" s="106" t="e">
        <f t="shared" ca="1" si="52"/>
        <v>#N/A</v>
      </c>
      <c r="AJ76" s="106" t="e">
        <f t="shared" ca="1" si="53"/>
        <v>#N/A</v>
      </c>
      <c r="AK76" s="231"/>
    </row>
    <row r="77" spans="1:37" ht="21" customHeight="1" x14ac:dyDescent="0.2">
      <c r="A77" s="3">
        <f t="shared" si="38"/>
        <v>68</v>
      </c>
      <c r="B77" s="3" t="s">
        <v>627</v>
      </c>
      <c r="C77" s="3" t="s">
        <v>628</v>
      </c>
      <c r="D77" s="3" t="s">
        <v>207</v>
      </c>
      <c r="E77" s="110">
        <v>42426</v>
      </c>
      <c r="F77" s="111">
        <f t="shared" si="20"/>
        <v>0</v>
      </c>
      <c r="G77" s="22">
        <f>$G$3</f>
        <v>3745000</v>
      </c>
      <c r="H77" s="28" t="s">
        <v>667</v>
      </c>
      <c r="I77" s="28">
        <v>1</v>
      </c>
      <c r="J77" s="277">
        <v>3745000</v>
      </c>
      <c r="K77" s="306">
        <f>VLOOKUP(H77,'thang luong moi'!B:I,'Bang luong (chaun)'!I77+1,0)</f>
        <v>4213125</v>
      </c>
      <c r="L77" s="315">
        <f t="shared" si="32"/>
        <v>0.1111111111111111</v>
      </c>
      <c r="M77" s="77" t="e">
        <f>VLOOKUP(C77,CC!$C$5:$AJ$67,34,0)</f>
        <v>#N/A</v>
      </c>
      <c r="N77" s="22" t="e">
        <f t="shared" si="48"/>
        <v>#N/A</v>
      </c>
      <c r="O77" s="22" t="e">
        <f>VLOOKUP(C77,CC!$C$5:$AM$67,36,0)</f>
        <v>#N/A</v>
      </c>
      <c r="P77" s="22" t="e">
        <f>VLOOKUP(C77,CC!$C$5:$BS$67,69,0)</f>
        <v>#N/A</v>
      </c>
      <c r="Q77" s="22" t="e">
        <f>VLOOKUP(C77,CC!$C$5:$BT$67,70,0)</f>
        <v>#N/A</v>
      </c>
      <c r="R77" s="22" t="e">
        <f>VLOOKUP(C77,CC!$C$5:$AM$67,37,0)</f>
        <v>#N/A</v>
      </c>
      <c r="S77" s="22" t="e">
        <f>VLOOKUP(C77,CC!$C$5:$AM$67,35,0)</f>
        <v>#N/A</v>
      </c>
      <c r="T77" s="22" t="e">
        <f t="shared" si="49"/>
        <v>#N/A</v>
      </c>
      <c r="U77" s="22" t="e">
        <f>VLOOKUP(C77,'Công tổng'!$C$53:$BY$67,66,0)-N77</f>
        <v>#N/A</v>
      </c>
      <c r="V77" s="22">
        <f t="shared" si="50"/>
        <v>0</v>
      </c>
      <c r="W77" s="22">
        <f ca="1">(100%-SUMIF('chuyên cần'!$C$6:$AP$31,'Bang luong (chaun)'!C77,'chuyên cần'!$AP$7:$AP$31))*$W$3</f>
        <v>300000</v>
      </c>
      <c r="X77" s="22"/>
      <c r="Y77" s="22"/>
      <c r="Z77" s="22"/>
      <c r="AA77" s="22"/>
      <c r="AB77" s="199">
        <v>0</v>
      </c>
      <c r="AC77" s="106" t="e">
        <f t="shared" ca="1" si="34"/>
        <v>#N/A</v>
      </c>
      <c r="AD77" s="203">
        <f t="shared" si="35"/>
        <v>3745000</v>
      </c>
      <c r="AE77" s="204">
        <f t="shared" si="36"/>
        <v>4213125</v>
      </c>
      <c r="AF77" s="204">
        <v>3932250</v>
      </c>
      <c r="AG77" s="106" t="e">
        <f>'ung luong'!#REF!</f>
        <v>#REF!</v>
      </c>
      <c r="AH77" s="106">
        <f t="shared" si="51"/>
        <v>0</v>
      </c>
      <c r="AI77" s="106" t="e">
        <f t="shared" ca="1" si="52"/>
        <v>#N/A</v>
      </c>
      <c r="AJ77" s="106" t="e">
        <f t="shared" ca="1" si="53"/>
        <v>#N/A</v>
      </c>
      <c r="AK77" s="231"/>
    </row>
    <row r="78" spans="1:37" ht="21" customHeight="1" x14ac:dyDescent="0.2">
      <c r="A78" s="3">
        <f t="shared" si="38"/>
        <v>69</v>
      </c>
      <c r="B78" s="3" t="s">
        <v>629</v>
      </c>
      <c r="C78" s="3" t="s">
        <v>631</v>
      </c>
      <c r="D78" s="3" t="s">
        <v>207</v>
      </c>
      <c r="E78" s="110">
        <v>42426</v>
      </c>
      <c r="F78" s="111">
        <f t="shared" si="20"/>
        <v>0</v>
      </c>
      <c r="G78" s="22">
        <f>$G$3</f>
        <v>3745000</v>
      </c>
      <c r="H78" s="28" t="s">
        <v>667</v>
      </c>
      <c r="I78" s="28">
        <v>1</v>
      </c>
      <c r="J78" s="277">
        <v>3745000</v>
      </c>
      <c r="K78" s="306">
        <f>VLOOKUP(H78,'thang luong moi'!B:I,'Bang luong (chaun)'!I78+1,0)</f>
        <v>4213125</v>
      </c>
      <c r="L78" s="315">
        <f t="shared" si="32"/>
        <v>0.1111111111111111</v>
      </c>
      <c r="M78" s="77" t="e">
        <f>VLOOKUP(C78,CC!$C$5:$AJ$67,34,0)</f>
        <v>#N/A</v>
      </c>
      <c r="N78" s="22" t="e">
        <f t="shared" si="48"/>
        <v>#N/A</v>
      </c>
      <c r="O78" s="22" t="e">
        <f>VLOOKUP(C78,CC!$C$5:$AM$67,36,0)</f>
        <v>#N/A</v>
      </c>
      <c r="P78" s="22" t="e">
        <f>VLOOKUP(C78,CC!$C$5:$BS$67,69,0)</f>
        <v>#N/A</v>
      </c>
      <c r="Q78" s="22" t="e">
        <f>VLOOKUP(C78,CC!$C$5:$BT$67,70,0)</f>
        <v>#N/A</v>
      </c>
      <c r="R78" s="22" t="e">
        <f>VLOOKUP(C78,CC!$C$5:$AM$67,37,0)</f>
        <v>#N/A</v>
      </c>
      <c r="S78" s="22" t="e">
        <f>VLOOKUP(C78,CC!$C$5:$AM$67,35,0)</f>
        <v>#N/A</v>
      </c>
      <c r="T78" s="22" t="e">
        <f t="shared" si="49"/>
        <v>#N/A</v>
      </c>
      <c r="U78" s="22" t="e">
        <f>VLOOKUP(C78,'Công tổng'!$C$53:$BY$67,66,0)-N78</f>
        <v>#N/A</v>
      </c>
      <c r="V78" s="22">
        <f t="shared" si="50"/>
        <v>0</v>
      </c>
      <c r="W78" s="22">
        <f ca="1">(100%-SUMIF('chuyên cần'!$C$6:$AP$31,'Bang luong (chaun)'!C78,'chuyên cần'!$AP$7:$AP$31))*$W$3</f>
        <v>300000</v>
      </c>
      <c r="X78" s="22"/>
      <c r="Y78" s="22"/>
      <c r="Z78" s="22"/>
      <c r="AA78" s="22"/>
      <c r="AB78" s="199">
        <v>0</v>
      </c>
      <c r="AC78" s="106" t="e">
        <f t="shared" ca="1" si="34"/>
        <v>#N/A</v>
      </c>
      <c r="AD78" s="203">
        <f t="shared" si="35"/>
        <v>3745000</v>
      </c>
      <c r="AE78" s="204">
        <f t="shared" si="36"/>
        <v>4213125</v>
      </c>
      <c r="AF78" s="204">
        <v>3932250</v>
      </c>
      <c r="AG78" s="106" t="e">
        <f>'ung luong'!#REF!</f>
        <v>#REF!</v>
      </c>
      <c r="AH78" s="106">
        <f t="shared" si="51"/>
        <v>0</v>
      </c>
      <c r="AI78" s="106" t="e">
        <f t="shared" ca="1" si="52"/>
        <v>#N/A</v>
      </c>
      <c r="AJ78" s="106" t="e">
        <f t="shared" ca="1" si="53"/>
        <v>#N/A</v>
      </c>
      <c r="AK78" s="231"/>
    </row>
    <row r="79" spans="1:37" ht="18" customHeight="1" x14ac:dyDescent="0.2">
      <c r="A79" s="3">
        <f t="shared" si="38"/>
        <v>70</v>
      </c>
      <c r="B79" s="3" t="s">
        <v>630</v>
      </c>
      <c r="C79" s="3" t="s">
        <v>632</v>
      </c>
      <c r="D79" s="3" t="s">
        <v>207</v>
      </c>
      <c r="E79" s="110">
        <v>42429</v>
      </c>
      <c r="F79" s="111">
        <f t="shared" si="20"/>
        <v>0</v>
      </c>
      <c r="G79" s="22">
        <f>$G$3</f>
        <v>3745000</v>
      </c>
      <c r="H79" s="28" t="s">
        <v>667</v>
      </c>
      <c r="I79" s="28">
        <v>1</v>
      </c>
      <c r="J79" s="277">
        <v>3745000</v>
      </c>
      <c r="K79" s="306">
        <f>VLOOKUP(H79,'thang luong moi'!B:I,'Bang luong (chaun)'!I79+1,0)</f>
        <v>4213125</v>
      </c>
      <c r="L79" s="315">
        <f t="shared" si="32"/>
        <v>0.1111111111111111</v>
      </c>
      <c r="M79" s="77" t="e">
        <f>VLOOKUP(C79,CC!$C$5:$AJ$67,34,0)</f>
        <v>#N/A</v>
      </c>
      <c r="N79" s="22" t="e">
        <f t="shared" si="48"/>
        <v>#N/A</v>
      </c>
      <c r="O79" s="22" t="e">
        <f>VLOOKUP(C79,CC!$C$5:$AM$67,36,0)</f>
        <v>#N/A</v>
      </c>
      <c r="P79" s="22" t="e">
        <f>VLOOKUP(C79,CC!$C$5:$BS$67,69,0)</f>
        <v>#N/A</v>
      </c>
      <c r="Q79" s="22" t="e">
        <f>VLOOKUP(C79,CC!$C$5:$BT$67,70,0)</f>
        <v>#N/A</v>
      </c>
      <c r="R79" s="22" t="e">
        <f>VLOOKUP(C79,CC!$C$5:$AM$67,37,0)</f>
        <v>#N/A</v>
      </c>
      <c r="S79" s="22" t="e">
        <f>VLOOKUP(C79,CC!$C$5:$AM$67,35,0)</f>
        <v>#N/A</v>
      </c>
      <c r="T79" s="22" t="e">
        <f t="shared" si="49"/>
        <v>#N/A</v>
      </c>
      <c r="U79" s="22" t="e">
        <f>VLOOKUP(C79,'Công tổng'!$C$53:$BY$67,66,0)-N79</f>
        <v>#N/A</v>
      </c>
      <c r="V79" s="22">
        <f t="shared" si="50"/>
        <v>0</v>
      </c>
      <c r="W79" s="22">
        <f ca="1">(100%-SUMIF('chuyên cần'!$C$6:$AP$31,'Bang luong (chaun)'!C79,'chuyên cần'!$AP$7:$AP$31))*$W$3</f>
        <v>300000</v>
      </c>
      <c r="X79" s="22"/>
      <c r="Y79" s="22"/>
      <c r="Z79" s="22"/>
      <c r="AA79" s="22"/>
      <c r="AB79" s="199">
        <v>0</v>
      </c>
      <c r="AC79" s="106" t="e">
        <f t="shared" ca="1" si="34"/>
        <v>#N/A</v>
      </c>
      <c r="AD79" s="203">
        <f t="shared" si="35"/>
        <v>3745000</v>
      </c>
      <c r="AE79" s="204">
        <f>K79+AB79</f>
        <v>4213125</v>
      </c>
      <c r="AF79" s="204">
        <v>3932250</v>
      </c>
      <c r="AG79" s="106" t="e">
        <f>'ung luong'!#REF!</f>
        <v>#REF!</v>
      </c>
      <c r="AH79" s="106">
        <f t="shared" si="51"/>
        <v>0</v>
      </c>
      <c r="AI79" s="106" t="e">
        <f t="shared" ca="1" si="52"/>
        <v>#N/A</v>
      </c>
      <c r="AJ79" s="106" t="e">
        <f t="shared" ca="1" si="53"/>
        <v>#N/A</v>
      </c>
      <c r="AK79" s="231"/>
    </row>
    <row r="80" spans="1:37" ht="15" hidden="1" x14ac:dyDescent="0.2">
      <c r="A80" s="233"/>
      <c r="B80" s="233"/>
      <c r="C80" s="233" t="s">
        <v>543</v>
      </c>
      <c r="D80" s="233"/>
      <c r="E80" s="234"/>
      <c r="F80" s="235"/>
      <c r="G80" s="106"/>
      <c r="H80" s="236"/>
      <c r="I80" s="236"/>
      <c r="J80" s="276"/>
      <c r="K80" s="106"/>
      <c r="L80" s="106"/>
      <c r="M80" s="237"/>
      <c r="N80" s="106"/>
      <c r="O80" s="106"/>
      <c r="P80" s="106"/>
      <c r="Q80" s="106"/>
      <c r="R80" s="106"/>
      <c r="S80" s="106"/>
      <c r="T80" s="106"/>
      <c r="U80" s="106"/>
      <c r="V80" s="177"/>
      <c r="W80" s="106"/>
      <c r="X80" s="106"/>
      <c r="Y80" s="22"/>
      <c r="Z80" s="106">
        <v>0</v>
      </c>
      <c r="AA80" s="106"/>
      <c r="AB80" s="203"/>
      <c r="AC80" s="106" t="e">
        <f ca="1">AC41+AC24+AC15+AC12+AC5</f>
        <v>#N/A</v>
      </c>
      <c r="AD80" s="203"/>
      <c r="AE80" s="203"/>
      <c r="AF80" s="203"/>
      <c r="AG80" s="106" t="e">
        <f>AG41+AG24+AG15+AG12+AG5</f>
        <v>#REF!</v>
      </c>
      <c r="AH80" s="106">
        <f>AH41+AH24+AH15+AH12+AH5</f>
        <v>6444195</v>
      </c>
      <c r="AI80" s="106" t="e">
        <f ca="1">AI41+AI24+AI15+AI12+AI5</f>
        <v>#N/A</v>
      </c>
      <c r="AJ80" s="106" t="e">
        <f ca="1">AJ41+AJ24+AJ15+AJ12+AJ5</f>
        <v>#N/A</v>
      </c>
      <c r="AK80" s="231"/>
    </row>
    <row r="81" spans="1:39" ht="15" hidden="1" x14ac:dyDescent="0.2">
      <c r="A81" s="241"/>
      <c r="B81" s="241"/>
      <c r="C81" s="241"/>
      <c r="D81" s="241"/>
      <c r="E81" s="242"/>
      <c r="F81" s="243"/>
      <c r="G81" s="244"/>
      <c r="H81" s="245"/>
      <c r="I81" s="245"/>
      <c r="J81" s="307">
        <f>SUBTOTAL(9,J5:J80)</f>
        <v>300723500</v>
      </c>
      <c r="K81" s="307">
        <f>SUBTOTAL(9,K5:K80)</f>
        <v>346920750</v>
      </c>
      <c r="L81" s="316"/>
      <c r="M81" s="246"/>
      <c r="N81" s="244"/>
      <c r="O81" s="244"/>
      <c r="P81" s="244"/>
      <c r="Q81" s="244"/>
      <c r="R81" s="244"/>
      <c r="S81" s="244"/>
      <c r="T81" s="244"/>
      <c r="U81" s="244"/>
      <c r="V81" s="247"/>
      <c r="W81" s="244"/>
      <c r="X81" s="244"/>
      <c r="Y81" s="117"/>
      <c r="Z81" s="244"/>
      <c r="AA81" s="244"/>
      <c r="AB81" s="272"/>
      <c r="AC81" s="244"/>
      <c r="AD81" s="272"/>
      <c r="AE81" s="307"/>
      <c r="AF81" s="307"/>
      <c r="AG81" s="244"/>
      <c r="AH81" s="244"/>
      <c r="AI81" s="244"/>
      <c r="AJ81" s="244"/>
      <c r="AK81" s="248"/>
    </row>
    <row r="82" spans="1:39" s="10" customFormat="1" ht="15" hidden="1" customHeight="1" x14ac:dyDescent="0.2">
      <c r="B82" s="268"/>
      <c r="C82" s="268"/>
      <c r="H82" s="269"/>
      <c r="I82" s="269"/>
      <c r="J82" s="278"/>
      <c r="K82" s="318">
        <f>K81-J81</f>
        <v>46197250</v>
      </c>
      <c r="L82" s="317"/>
      <c r="M82" s="268"/>
      <c r="N82" s="230"/>
      <c r="O82" s="230"/>
      <c r="P82" s="230"/>
      <c r="Q82" s="230"/>
      <c r="R82" s="230"/>
      <c r="S82" s="230"/>
      <c r="T82" s="230"/>
      <c r="U82" s="230"/>
      <c r="V82" s="230"/>
      <c r="W82" s="230"/>
      <c r="X82" s="230"/>
      <c r="Y82" s="230"/>
      <c r="Z82" s="230"/>
      <c r="AA82" s="230" t="s">
        <v>539</v>
      </c>
      <c r="AB82" s="273"/>
      <c r="AC82" s="268"/>
      <c r="AD82" s="278"/>
      <c r="AE82" s="310"/>
      <c r="AF82" s="310"/>
      <c r="AG82" s="268"/>
      <c r="AH82" s="230"/>
      <c r="AI82" s="230"/>
      <c r="AJ82" s="230"/>
      <c r="AL82" s="230"/>
      <c r="AM82" s="230"/>
    </row>
    <row r="83" spans="1:39" hidden="1" x14ac:dyDescent="0.2">
      <c r="C83" s="220"/>
      <c r="K83" s="304">
        <f>K82/70</f>
        <v>659960.71428571432</v>
      </c>
    </row>
    <row r="84" spans="1:39" ht="24.75" customHeight="1" x14ac:dyDescent="0.2">
      <c r="C84" s="220"/>
    </row>
    <row r="85" spans="1:39" x14ac:dyDescent="0.2">
      <c r="C85" s="220"/>
    </row>
    <row r="86" spans="1:39" x14ac:dyDescent="0.2">
      <c r="C86" s="220"/>
    </row>
    <row r="87" spans="1:39" x14ac:dyDescent="0.2">
      <c r="C87" s="220"/>
    </row>
    <row r="88" spans="1:39" x14ac:dyDescent="0.2">
      <c r="C88" s="220"/>
    </row>
    <row r="89" spans="1:39" s="10" customFormat="1" ht="15" customHeight="1" x14ac:dyDescent="0.2">
      <c r="B89" s="268" t="s">
        <v>542</v>
      </c>
      <c r="C89" s="268"/>
      <c r="H89" s="269"/>
      <c r="J89" s="273" t="s">
        <v>562</v>
      </c>
      <c r="K89" s="311" t="s">
        <v>562</v>
      </c>
      <c r="L89" s="317"/>
      <c r="M89" s="269"/>
      <c r="N89" s="230"/>
      <c r="O89" s="230"/>
      <c r="P89" s="230"/>
      <c r="Q89" s="230"/>
      <c r="R89" s="230"/>
      <c r="S89" s="230"/>
      <c r="T89" s="230"/>
      <c r="U89" s="230"/>
      <c r="V89" s="230"/>
      <c r="W89" s="230"/>
      <c r="X89" s="230"/>
      <c r="Y89" s="230"/>
      <c r="Z89" s="230"/>
      <c r="AA89" s="230" t="s">
        <v>63</v>
      </c>
      <c r="AB89" s="273"/>
      <c r="AC89" s="268" t="s">
        <v>63</v>
      </c>
      <c r="AD89" s="278"/>
      <c r="AE89" s="310"/>
      <c r="AF89" s="310"/>
      <c r="AG89" s="268"/>
      <c r="AH89" s="230"/>
      <c r="AI89" s="230"/>
      <c r="AJ89" s="230"/>
      <c r="AL89" s="230"/>
      <c r="AM89" s="230"/>
    </row>
    <row r="91" spans="1:39" x14ac:dyDescent="0.2">
      <c r="H91" s="218"/>
      <c r="I91" s="218"/>
      <c r="J91" s="270"/>
      <c r="K91" s="308"/>
      <c r="N91" s="218"/>
      <c r="O91" s="218"/>
      <c r="P91" s="218"/>
      <c r="Q91" s="218"/>
      <c r="R91" s="218"/>
      <c r="S91" s="218"/>
      <c r="T91" s="218"/>
      <c r="U91" s="218"/>
      <c r="V91" s="218"/>
      <c r="W91" s="218"/>
      <c r="X91" s="218"/>
      <c r="Y91" s="218"/>
      <c r="Z91" s="218"/>
      <c r="AA91" s="218"/>
      <c r="AB91" s="274"/>
      <c r="AC91" s="218"/>
      <c r="AD91" s="274"/>
      <c r="AE91" s="308"/>
      <c r="AF91" s="308"/>
      <c r="AG91" s="218"/>
      <c r="AH91" s="218"/>
      <c r="AI91" s="218"/>
      <c r="AJ91" s="218"/>
      <c r="AL91" s="218"/>
      <c r="AM91" s="218"/>
    </row>
  </sheetData>
  <autoFilter ref="A4:AT83">
    <filterColumn colId="31">
      <customFilters>
        <customFilter operator="notEqual" val=" "/>
      </customFilters>
    </filterColumn>
  </autoFilter>
  <printOptions horizontalCentered="1"/>
  <pageMargins left="0.196850393700787" right="0.196850393700787" top="0.196850393700787" bottom="0.196850393700787" header="0" footer="0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K140"/>
  <sheetViews>
    <sheetView zoomScaleNormal="100" workbookViewId="0">
      <pane ySplit="2" topLeftCell="A101" activePane="bottomLeft" state="frozen"/>
      <selection pane="bottomLeft" activeCell="F115" sqref="F115"/>
    </sheetView>
  </sheetViews>
  <sheetFormatPr defaultRowHeight="15" x14ac:dyDescent="0.25"/>
  <cols>
    <col min="1" max="1" width="5.140625" style="872" customWidth="1"/>
    <col min="2" max="2" width="8" customWidth="1"/>
    <col min="3" max="3" width="21.5703125" customWidth="1"/>
    <col min="4" max="4" width="23.42578125" style="869" customWidth="1"/>
    <col min="5" max="5" width="17.140625" style="641" customWidth="1"/>
    <col min="6" max="6" width="18.85546875" customWidth="1"/>
    <col min="7" max="7" width="17.28515625" customWidth="1"/>
    <col min="8" max="8" width="19.42578125" customWidth="1"/>
    <col min="9" max="9" width="18.140625" customWidth="1"/>
    <col min="10" max="10" width="15.28515625" bestFit="1" customWidth="1"/>
  </cols>
  <sheetData>
    <row r="1" spans="1:7" ht="36" customHeight="1" x14ac:dyDescent="0.25">
      <c r="A1" s="1007" t="s">
        <v>902</v>
      </c>
      <c r="B1" s="1007"/>
      <c r="C1" s="1007"/>
      <c r="D1" s="1007"/>
      <c r="E1" s="1007"/>
      <c r="F1" s="1007"/>
      <c r="G1" s="1007"/>
    </row>
    <row r="2" spans="1:7" ht="47.25" x14ac:dyDescent="0.25">
      <c r="A2" s="748" t="s">
        <v>0</v>
      </c>
      <c r="B2" s="748" t="s">
        <v>1</v>
      </c>
      <c r="C2" s="748" t="s">
        <v>2</v>
      </c>
      <c r="D2" s="748" t="s">
        <v>3</v>
      </c>
      <c r="E2" s="752" t="s">
        <v>792</v>
      </c>
      <c r="F2" s="748" t="s">
        <v>723</v>
      </c>
      <c r="G2" s="748" t="s">
        <v>553</v>
      </c>
    </row>
    <row r="3" spans="1:7" ht="15.75" x14ac:dyDescent="0.25">
      <c r="A3" s="748">
        <v>1</v>
      </c>
      <c r="B3" s="748"/>
      <c r="C3" s="748" t="s">
        <v>29</v>
      </c>
      <c r="D3" s="748" t="s">
        <v>907</v>
      </c>
      <c r="E3" s="752">
        <v>0</v>
      </c>
      <c r="F3" s="757">
        <f>E3</f>
        <v>0</v>
      </c>
      <c r="G3" s="748"/>
    </row>
    <row r="4" spans="1:7" ht="15.75" x14ac:dyDescent="0.25">
      <c r="A4" s="866"/>
      <c r="B4" s="866"/>
      <c r="C4" s="866" t="s">
        <v>908</v>
      </c>
      <c r="D4" s="866"/>
      <c r="E4" s="917"/>
      <c r="F4" s="918"/>
      <c r="G4" s="866"/>
    </row>
    <row r="5" spans="1:7" ht="23.25" customHeight="1" x14ac:dyDescent="0.25">
      <c r="A5" s="748">
        <v>2</v>
      </c>
      <c r="B5" s="748"/>
      <c r="C5" s="867" t="s">
        <v>838</v>
      </c>
      <c r="D5" s="748" t="s">
        <v>841</v>
      </c>
      <c r="E5" s="752">
        <v>0</v>
      </c>
      <c r="F5" s="757">
        <f>+E5</f>
        <v>0</v>
      </c>
      <c r="G5" s="748"/>
    </row>
    <row r="6" spans="1:7" ht="23.25" customHeight="1" x14ac:dyDescent="0.25">
      <c r="A6" s="748">
        <v>3</v>
      </c>
      <c r="B6" s="748"/>
      <c r="C6" s="867" t="s">
        <v>31</v>
      </c>
      <c r="D6" s="748" t="s">
        <v>909</v>
      </c>
      <c r="E6" s="752">
        <v>0</v>
      </c>
      <c r="F6" s="757">
        <f>+E6</f>
        <v>0</v>
      </c>
      <c r="G6" s="748"/>
    </row>
    <row r="7" spans="1:7" ht="15.75" x14ac:dyDescent="0.25">
      <c r="A7" s="749"/>
      <c r="B7" s="749"/>
      <c r="C7" s="866" t="s">
        <v>846</v>
      </c>
      <c r="D7" s="749"/>
      <c r="E7" s="753">
        <v>0</v>
      </c>
      <c r="F7" s="749"/>
      <c r="G7" s="749"/>
    </row>
    <row r="8" spans="1:7" ht="15.75" x14ac:dyDescent="0.25">
      <c r="A8" s="748">
        <v>2</v>
      </c>
      <c r="B8" s="748"/>
      <c r="C8" s="748" t="s">
        <v>877</v>
      </c>
      <c r="D8" s="748" t="s">
        <v>904</v>
      </c>
      <c r="E8" s="752"/>
      <c r="F8" s="757">
        <f>+E8</f>
        <v>0</v>
      </c>
      <c r="G8" s="748"/>
    </row>
    <row r="9" spans="1:7" ht="31.5" x14ac:dyDescent="0.25">
      <c r="A9" s="748">
        <v>3</v>
      </c>
      <c r="B9" s="748"/>
      <c r="C9" s="748" t="s">
        <v>878</v>
      </c>
      <c r="D9" s="748" t="s">
        <v>882</v>
      </c>
      <c r="E9" s="752"/>
      <c r="F9" s="757">
        <f t="shared" ref="F9:F13" si="0">+E9</f>
        <v>0</v>
      </c>
      <c r="G9" s="748"/>
    </row>
    <row r="10" spans="1:7" ht="31.5" x14ac:dyDescent="0.25">
      <c r="A10" s="748">
        <v>4</v>
      </c>
      <c r="B10" s="748"/>
      <c r="C10" s="748" t="s">
        <v>903</v>
      </c>
      <c r="D10" s="748" t="s">
        <v>881</v>
      </c>
      <c r="E10" s="752"/>
      <c r="F10" s="757">
        <f t="shared" si="0"/>
        <v>0</v>
      </c>
      <c r="G10" s="748"/>
    </row>
    <row r="11" spans="1:7" ht="15.75" x14ac:dyDescent="0.25">
      <c r="A11" s="748">
        <v>5</v>
      </c>
      <c r="B11" s="748"/>
      <c r="C11" s="748" t="s">
        <v>879</v>
      </c>
      <c r="D11" s="748" t="s">
        <v>883</v>
      </c>
      <c r="E11" s="752"/>
      <c r="F11" s="757">
        <f t="shared" si="0"/>
        <v>0</v>
      </c>
      <c r="G11" s="748"/>
    </row>
    <row r="12" spans="1:7" ht="15.75" x14ac:dyDescent="0.25">
      <c r="A12" s="748">
        <v>6</v>
      </c>
      <c r="B12" s="748"/>
      <c r="C12" s="748" t="s">
        <v>880</v>
      </c>
      <c r="D12" s="748" t="s">
        <v>884</v>
      </c>
      <c r="E12" s="752"/>
      <c r="F12" s="757">
        <f t="shared" si="0"/>
        <v>0</v>
      </c>
      <c r="G12" s="748"/>
    </row>
    <row r="13" spans="1:7" ht="15.75" x14ac:dyDescent="0.25">
      <c r="A13" s="748">
        <v>7</v>
      </c>
      <c r="B13" s="748"/>
      <c r="C13" s="748" t="s">
        <v>892</v>
      </c>
      <c r="D13" s="748" t="s">
        <v>885</v>
      </c>
      <c r="E13" s="752"/>
      <c r="F13" s="757">
        <f t="shared" si="0"/>
        <v>0</v>
      </c>
      <c r="G13" s="748"/>
    </row>
    <row r="14" spans="1:7" ht="31.5" x14ac:dyDescent="0.25">
      <c r="A14" s="749"/>
      <c r="B14" s="749"/>
      <c r="C14" s="866" t="s">
        <v>864</v>
      </c>
      <c r="D14" s="749"/>
      <c r="E14" s="753"/>
      <c r="F14" s="749"/>
      <c r="G14" s="749"/>
    </row>
    <row r="15" spans="1:7" ht="31.5" x14ac:dyDescent="0.25">
      <c r="A15" s="748">
        <v>1</v>
      </c>
      <c r="B15" s="748"/>
      <c r="C15" s="867" t="s">
        <v>861</v>
      </c>
      <c r="D15" s="748" t="s">
        <v>863</v>
      </c>
      <c r="E15" s="752"/>
      <c r="F15" s="757">
        <f>E15</f>
        <v>0</v>
      </c>
      <c r="G15" s="748"/>
    </row>
    <row r="16" spans="1:7" ht="15.75" x14ac:dyDescent="0.25">
      <c r="A16" s="749"/>
      <c r="B16" s="749"/>
      <c r="C16" s="866" t="s">
        <v>865</v>
      </c>
      <c r="D16" s="749"/>
      <c r="E16" s="753"/>
      <c r="F16" s="749"/>
      <c r="G16" s="749"/>
    </row>
    <row r="17" spans="1:7" s="64" customFormat="1" ht="15.75" x14ac:dyDescent="0.25">
      <c r="A17" s="748"/>
      <c r="B17" s="748"/>
      <c r="C17" s="867" t="s">
        <v>894</v>
      </c>
      <c r="D17" s="748" t="s">
        <v>895</v>
      </c>
      <c r="E17" s="752">
        <v>0</v>
      </c>
      <c r="F17" s="757">
        <f>E17</f>
        <v>0</v>
      </c>
      <c r="G17" s="748"/>
    </row>
    <row r="18" spans="1:7" ht="24.75" customHeight="1" x14ac:dyDescent="0.25">
      <c r="A18" s="748">
        <v>2</v>
      </c>
      <c r="B18" s="748"/>
      <c r="C18" s="867" t="s">
        <v>750</v>
      </c>
      <c r="D18" s="748" t="s">
        <v>862</v>
      </c>
      <c r="E18" s="752"/>
      <c r="F18" s="757">
        <f>E18</f>
        <v>0</v>
      </c>
      <c r="G18" s="748"/>
    </row>
    <row r="19" spans="1:7" ht="24.75" customHeight="1" x14ac:dyDescent="0.25">
      <c r="A19" s="748">
        <v>3</v>
      </c>
      <c r="B19" s="748"/>
      <c r="C19" s="867" t="s">
        <v>859</v>
      </c>
      <c r="D19" s="748" t="s">
        <v>862</v>
      </c>
      <c r="E19" s="752"/>
      <c r="F19" s="757">
        <f t="shared" ref="F19:F20" si="1">E19</f>
        <v>0</v>
      </c>
      <c r="G19" s="748"/>
    </row>
    <row r="20" spans="1:7" ht="24.75" customHeight="1" x14ac:dyDescent="0.25">
      <c r="A20" s="748">
        <v>4</v>
      </c>
      <c r="B20" s="748"/>
      <c r="C20" s="867" t="s">
        <v>860</v>
      </c>
      <c r="D20" s="748" t="s">
        <v>862</v>
      </c>
      <c r="E20" s="752">
        <v>0</v>
      </c>
      <c r="F20" s="757">
        <f t="shared" si="1"/>
        <v>0</v>
      </c>
      <c r="G20" s="748"/>
    </row>
    <row r="21" spans="1:7" ht="15.75" x14ac:dyDescent="0.25">
      <c r="A21" s="749"/>
      <c r="B21" s="749"/>
      <c r="C21" s="866" t="s">
        <v>361</v>
      </c>
      <c r="D21" s="749"/>
      <c r="E21" s="753"/>
      <c r="F21" s="749"/>
      <c r="G21" s="749"/>
    </row>
    <row r="22" spans="1:7" ht="23.25" customHeight="1" x14ac:dyDescent="0.25">
      <c r="A22" s="748">
        <v>5</v>
      </c>
      <c r="B22" s="748"/>
      <c r="C22" s="867" t="s">
        <v>757</v>
      </c>
      <c r="D22" s="748" t="s">
        <v>852</v>
      </c>
      <c r="E22" s="752"/>
      <c r="F22" s="757">
        <f>E22</f>
        <v>0</v>
      </c>
      <c r="G22" s="748"/>
    </row>
    <row r="23" spans="1:7" ht="23.25" customHeight="1" x14ac:dyDescent="0.25">
      <c r="A23" s="748">
        <v>6</v>
      </c>
      <c r="B23" s="748"/>
      <c r="C23" s="867" t="s">
        <v>848</v>
      </c>
      <c r="D23" s="748" t="s">
        <v>853</v>
      </c>
      <c r="E23" s="752"/>
      <c r="F23" s="757">
        <f t="shared" ref="F23:F33" si="2">E23</f>
        <v>0</v>
      </c>
      <c r="G23" s="748"/>
    </row>
    <row r="24" spans="1:7" ht="23.25" customHeight="1" x14ac:dyDescent="0.25">
      <c r="A24" s="748">
        <v>7</v>
      </c>
      <c r="B24" s="748"/>
      <c r="C24" s="867" t="s">
        <v>849</v>
      </c>
      <c r="D24" s="748" t="s">
        <v>854</v>
      </c>
      <c r="E24" s="752"/>
      <c r="F24" s="757">
        <f t="shared" si="2"/>
        <v>0</v>
      </c>
      <c r="G24" s="748"/>
    </row>
    <row r="25" spans="1:7" ht="23.25" customHeight="1" x14ac:dyDescent="0.25">
      <c r="A25" s="748">
        <v>8</v>
      </c>
      <c r="B25" s="748"/>
      <c r="C25" s="867" t="s">
        <v>850</v>
      </c>
      <c r="D25" s="748" t="s">
        <v>855</v>
      </c>
      <c r="E25" s="752"/>
      <c r="F25" s="757">
        <f t="shared" si="2"/>
        <v>0</v>
      </c>
      <c r="G25" s="748"/>
    </row>
    <row r="26" spans="1:7" ht="23.25" customHeight="1" x14ac:dyDescent="0.25">
      <c r="A26" s="748">
        <v>9</v>
      </c>
      <c r="B26" s="748"/>
      <c r="C26" s="867" t="s">
        <v>758</v>
      </c>
      <c r="D26" s="748" t="s">
        <v>856</v>
      </c>
      <c r="E26" s="752"/>
      <c r="F26" s="757">
        <f t="shared" si="2"/>
        <v>0</v>
      </c>
      <c r="G26" s="748"/>
    </row>
    <row r="27" spans="1:7" ht="23.25" customHeight="1" x14ac:dyDescent="0.25">
      <c r="A27" s="748">
        <v>10</v>
      </c>
      <c r="B27" s="748"/>
      <c r="C27" s="867" t="s">
        <v>851</v>
      </c>
      <c r="D27" s="748" t="s">
        <v>857</v>
      </c>
      <c r="E27" s="752"/>
      <c r="F27" s="757">
        <f t="shared" si="2"/>
        <v>0</v>
      </c>
      <c r="G27" s="748"/>
    </row>
    <row r="28" spans="1:7" ht="23.25" customHeight="1" x14ac:dyDescent="0.25">
      <c r="A28" s="748">
        <v>11</v>
      </c>
      <c r="B28" s="748"/>
      <c r="C28" s="867" t="s">
        <v>59</v>
      </c>
      <c r="D28" s="748" t="s">
        <v>858</v>
      </c>
      <c r="E28" s="752"/>
      <c r="F28" s="757">
        <f t="shared" si="2"/>
        <v>0</v>
      </c>
      <c r="G28" s="748"/>
    </row>
    <row r="29" spans="1:7" ht="23.25" customHeight="1" x14ac:dyDescent="0.25">
      <c r="A29" s="748">
        <v>12</v>
      </c>
      <c r="B29" s="748"/>
      <c r="C29" s="867" t="s">
        <v>724</v>
      </c>
      <c r="D29" s="748" t="s">
        <v>858</v>
      </c>
      <c r="E29" s="752"/>
      <c r="F29" s="757">
        <f t="shared" si="2"/>
        <v>0</v>
      </c>
      <c r="G29" s="748"/>
    </row>
    <row r="30" spans="1:7" ht="23.25" customHeight="1" x14ac:dyDescent="0.25">
      <c r="A30" s="748">
        <v>13</v>
      </c>
      <c r="B30" s="748"/>
      <c r="C30" s="867" t="s">
        <v>893</v>
      </c>
      <c r="D30" s="748" t="s">
        <v>858</v>
      </c>
      <c r="E30" s="752"/>
      <c r="F30" s="757">
        <f t="shared" si="2"/>
        <v>0</v>
      </c>
      <c r="G30" s="748"/>
    </row>
    <row r="31" spans="1:7" ht="23.25" customHeight="1" x14ac:dyDescent="0.25">
      <c r="A31" s="748">
        <v>14</v>
      </c>
      <c r="B31" s="748"/>
      <c r="C31" s="867" t="s">
        <v>63</v>
      </c>
      <c r="D31" s="748" t="s">
        <v>869</v>
      </c>
      <c r="E31" s="752"/>
      <c r="F31" s="757">
        <f t="shared" si="2"/>
        <v>0</v>
      </c>
      <c r="G31" s="748"/>
    </row>
    <row r="32" spans="1:7" ht="23.25" customHeight="1" x14ac:dyDescent="0.25">
      <c r="A32" s="748">
        <v>15</v>
      </c>
      <c r="B32" s="748"/>
      <c r="C32" s="867" t="s">
        <v>755</v>
      </c>
      <c r="D32" s="748" t="s">
        <v>853</v>
      </c>
      <c r="E32" s="752"/>
      <c r="F32" s="757">
        <f t="shared" si="2"/>
        <v>0</v>
      </c>
      <c r="G32" s="748"/>
    </row>
    <row r="33" spans="1:10" ht="23.25" customHeight="1" x14ac:dyDescent="0.25">
      <c r="A33" s="748">
        <v>16</v>
      </c>
      <c r="B33" s="748"/>
      <c r="C33" s="867" t="s">
        <v>905</v>
      </c>
      <c r="D33" s="748" t="s">
        <v>906</v>
      </c>
      <c r="E33" s="752"/>
      <c r="F33" s="757">
        <f t="shared" si="2"/>
        <v>0</v>
      </c>
      <c r="G33" s="748"/>
    </row>
    <row r="34" spans="1:10" ht="15.75" x14ac:dyDescent="0.25">
      <c r="A34" s="864"/>
      <c r="B34" s="864"/>
      <c r="C34" s="866" t="s">
        <v>847</v>
      </c>
      <c r="D34" s="864"/>
      <c r="E34" s="865"/>
      <c r="F34" s="864"/>
      <c r="G34" s="864"/>
    </row>
    <row r="35" spans="1:10" ht="23.25" customHeight="1" x14ac:dyDescent="0.25">
      <c r="A35" s="748">
        <v>17</v>
      </c>
      <c r="B35" s="748"/>
      <c r="C35" s="867" t="s">
        <v>839</v>
      </c>
      <c r="D35" s="748" t="s">
        <v>842</v>
      </c>
      <c r="E35" s="752"/>
      <c r="F35" s="757">
        <f t="shared" ref="F35:F39" si="3">+E35</f>
        <v>0</v>
      </c>
      <c r="G35" s="748"/>
    </row>
    <row r="36" spans="1:10" ht="23.25" customHeight="1" x14ac:dyDescent="0.25">
      <c r="A36" s="748">
        <v>18</v>
      </c>
      <c r="B36" s="748"/>
      <c r="C36" s="867" t="s">
        <v>37</v>
      </c>
      <c r="D36" s="748" t="s">
        <v>843</v>
      </c>
      <c r="E36" s="752"/>
      <c r="F36" s="757">
        <f t="shared" si="3"/>
        <v>0</v>
      </c>
      <c r="G36" s="748"/>
    </row>
    <row r="37" spans="1:10" ht="23.25" customHeight="1" x14ac:dyDescent="0.25">
      <c r="A37" s="748">
        <v>19</v>
      </c>
      <c r="B37" s="748"/>
      <c r="C37" s="867" t="s">
        <v>840</v>
      </c>
      <c r="D37" s="748" t="s">
        <v>844</v>
      </c>
      <c r="E37" s="752"/>
      <c r="F37" s="757">
        <f t="shared" si="3"/>
        <v>0</v>
      </c>
      <c r="G37" s="748"/>
    </row>
    <row r="38" spans="1:10" ht="23.25" customHeight="1" x14ac:dyDescent="0.25">
      <c r="A38" s="748">
        <v>20</v>
      </c>
      <c r="B38" s="748"/>
      <c r="C38" s="867" t="s">
        <v>601</v>
      </c>
      <c r="D38" s="748" t="s">
        <v>844</v>
      </c>
      <c r="E38" s="752"/>
      <c r="F38" s="757">
        <f t="shared" si="3"/>
        <v>0</v>
      </c>
      <c r="G38" s="748"/>
    </row>
    <row r="39" spans="1:10" ht="23.25" customHeight="1" x14ac:dyDescent="0.25">
      <c r="A39" s="748">
        <v>21</v>
      </c>
      <c r="B39" s="748"/>
      <c r="C39" s="867" t="s">
        <v>702</v>
      </c>
      <c r="D39" s="748" t="s">
        <v>845</v>
      </c>
      <c r="E39" s="752"/>
      <c r="F39" s="757">
        <f t="shared" si="3"/>
        <v>0</v>
      </c>
      <c r="G39" s="748"/>
    </row>
    <row r="40" spans="1:10" ht="15.75" x14ac:dyDescent="0.25">
      <c r="A40" s="749"/>
      <c r="B40" s="746"/>
      <c r="C40" s="746" t="s">
        <v>802</v>
      </c>
      <c r="D40" s="749"/>
      <c r="E40" s="753"/>
      <c r="F40" s="749"/>
      <c r="G40" s="749"/>
    </row>
    <row r="41" spans="1:10" ht="23.25" customHeight="1" x14ac:dyDescent="0.25">
      <c r="A41" s="748">
        <v>20</v>
      </c>
      <c r="B41" s="743"/>
      <c r="C41" s="743" t="s">
        <v>803</v>
      </c>
      <c r="D41" s="748" t="s">
        <v>804</v>
      </c>
      <c r="E41" s="752">
        <v>0</v>
      </c>
      <c r="F41" s="752">
        <v>0</v>
      </c>
      <c r="G41" s="748"/>
    </row>
    <row r="42" spans="1:10" ht="15.75" x14ac:dyDescent="0.25">
      <c r="A42" s="749"/>
      <c r="B42" s="746"/>
      <c r="C42" s="746" t="s">
        <v>806</v>
      </c>
      <c r="D42" s="749"/>
      <c r="E42" s="753"/>
      <c r="F42" s="797"/>
      <c r="G42" s="749"/>
    </row>
    <row r="43" spans="1:10" s="64" customFormat="1" ht="15.75" x14ac:dyDescent="0.25">
      <c r="A43" s="814"/>
      <c r="B43" s="815"/>
      <c r="C43" s="815" t="s">
        <v>793</v>
      </c>
      <c r="D43" s="814"/>
      <c r="E43" s="816"/>
      <c r="F43" s="816"/>
      <c r="G43" s="814"/>
    </row>
    <row r="44" spans="1:10" ht="24.75" customHeight="1" x14ac:dyDescent="0.25">
      <c r="A44" s="748">
        <v>21</v>
      </c>
      <c r="B44" s="743"/>
      <c r="C44" s="743" t="s">
        <v>72</v>
      </c>
      <c r="D44" s="751" t="s">
        <v>794</v>
      </c>
      <c r="E44" s="752"/>
      <c r="F44" s="757">
        <f>E44</f>
        <v>0</v>
      </c>
      <c r="G44" s="748"/>
    </row>
    <row r="45" spans="1:10" ht="24.75" customHeight="1" x14ac:dyDescent="0.25">
      <c r="A45" s="748">
        <v>22</v>
      </c>
      <c r="B45" s="743"/>
      <c r="C45" s="743" t="s">
        <v>81</v>
      </c>
      <c r="D45" s="751" t="s">
        <v>795</v>
      </c>
      <c r="E45" s="752"/>
      <c r="F45" s="757">
        <f t="shared" ref="F45:F48" si="4">E45</f>
        <v>0</v>
      </c>
      <c r="G45" s="748"/>
    </row>
    <row r="46" spans="1:10" ht="24.75" customHeight="1" x14ac:dyDescent="0.25">
      <c r="A46" s="748">
        <v>23</v>
      </c>
      <c r="B46" s="743"/>
      <c r="C46" s="743" t="s">
        <v>240</v>
      </c>
      <c r="D46" s="751" t="s">
        <v>796</v>
      </c>
      <c r="E46" s="752"/>
      <c r="F46" s="757">
        <f t="shared" si="4"/>
        <v>0</v>
      </c>
      <c r="G46" s="748"/>
      <c r="J46" s="64"/>
    </row>
    <row r="47" spans="1:10" ht="24.75" customHeight="1" x14ac:dyDescent="0.25">
      <c r="A47" s="748">
        <v>24</v>
      </c>
      <c r="B47" s="743"/>
      <c r="C47" s="743" t="s">
        <v>67</v>
      </c>
      <c r="D47" s="751" t="s">
        <v>796</v>
      </c>
      <c r="E47" s="752"/>
      <c r="F47" s="757">
        <f t="shared" si="4"/>
        <v>0</v>
      </c>
      <c r="G47" s="748"/>
      <c r="J47" s="64"/>
    </row>
    <row r="48" spans="1:10" ht="24.75" customHeight="1" x14ac:dyDescent="0.25">
      <c r="A48" s="748">
        <v>25</v>
      </c>
      <c r="B48" s="743"/>
      <c r="C48" s="743" t="s">
        <v>810</v>
      </c>
      <c r="D48" s="751" t="s">
        <v>811</v>
      </c>
      <c r="E48" s="752"/>
      <c r="F48" s="757">
        <f t="shared" si="4"/>
        <v>0</v>
      </c>
      <c r="G48" s="748"/>
      <c r="J48" s="64"/>
    </row>
    <row r="49" spans="1:10" ht="23.25" customHeight="1" x14ac:dyDescent="0.25">
      <c r="A49" s="748">
        <v>26</v>
      </c>
      <c r="B49" s="743"/>
      <c r="C49" s="743" t="s">
        <v>616</v>
      </c>
      <c r="D49" s="748" t="s">
        <v>798</v>
      </c>
      <c r="E49" s="752"/>
      <c r="F49" s="752">
        <f t="shared" ref="F49:F50" si="5">E49</f>
        <v>0</v>
      </c>
      <c r="G49" s="748"/>
      <c r="J49" s="64"/>
    </row>
    <row r="50" spans="1:10" ht="23.25" customHeight="1" x14ac:dyDescent="0.25">
      <c r="A50" s="748">
        <v>27</v>
      </c>
      <c r="B50" s="743"/>
      <c r="C50" s="743" t="s">
        <v>812</v>
      </c>
      <c r="D50" s="748" t="s">
        <v>798</v>
      </c>
      <c r="E50" s="752"/>
      <c r="F50" s="752">
        <f t="shared" si="5"/>
        <v>0</v>
      </c>
      <c r="G50" s="748"/>
      <c r="J50" s="64"/>
    </row>
    <row r="51" spans="1:10" ht="31.5" x14ac:dyDescent="0.25">
      <c r="A51" s="814"/>
      <c r="B51" s="815"/>
      <c r="C51" s="815" t="s">
        <v>874</v>
      </c>
      <c r="D51" s="814"/>
      <c r="E51" s="816"/>
      <c r="F51" s="816"/>
      <c r="G51" s="814"/>
      <c r="J51" s="64"/>
    </row>
    <row r="52" spans="1:10" ht="23.25" customHeight="1" x14ac:dyDescent="0.25">
      <c r="A52" s="748">
        <v>25</v>
      </c>
      <c r="B52" s="743"/>
      <c r="C52" s="743" t="s">
        <v>760</v>
      </c>
      <c r="D52" s="748" t="s">
        <v>797</v>
      </c>
      <c r="E52" s="752"/>
      <c r="F52" s="752">
        <f>E52</f>
        <v>0</v>
      </c>
      <c r="G52" s="748"/>
      <c r="J52" s="64"/>
    </row>
    <row r="53" spans="1:10" ht="23.25" customHeight="1" x14ac:dyDescent="0.25">
      <c r="A53" s="748"/>
      <c r="B53" s="743"/>
      <c r="C53" s="743" t="s">
        <v>870</v>
      </c>
      <c r="D53" s="748" t="s">
        <v>872</v>
      </c>
      <c r="E53" s="752"/>
      <c r="F53" s="752">
        <f>E53</f>
        <v>0</v>
      </c>
      <c r="G53" s="748"/>
      <c r="J53" s="64"/>
    </row>
    <row r="54" spans="1:10" ht="23.25" customHeight="1" x14ac:dyDescent="0.25">
      <c r="A54" s="748"/>
      <c r="B54" s="743"/>
      <c r="C54" s="743" t="s">
        <v>871</v>
      </c>
      <c r="D54" s="748" t="s">
        <v>873</v>
      </c>
      <c r="E54" s="752"/>
      <c r="F54" s="752">
        <f>E54</f>
        <v>0</v>
      </c>
      <c r="G54" s="748"/>
      <c r="J54" s="64"/>
    </row>
    <row r="55" spans="1:10" ht="15.75" x14ac:dyDescent="0.25">
      <c r="A55" s="749"/>
      <c r="B55" s="746"/>
      <c r="C55" s="746" t="s">
        <v>777</v>
      </c>
      <c r="D55" s="749"/>
      <c r="E55" s="753"/>
      <c r="F55" s="753"/>
      <c r="G55" s="749"/>
      <c r="J55" s="64"/>
    </row>
    <row r="56" spans="1:10" s="64" customFormat="1" ht="21" customHeight="1" x14ac:dyDescent="0.25">
      <c r="A56" s="748">
        <v>29</v>
      </c>
      <c r="B56" s="744"/>
      <c r="C56" s="744" t="s">
        <v>813</v>
      </c>
      <c r="D56" s="748" t="s">
        <v>814</v>
      </c>
      <c r="E56" s="752">
        <v>0</v>
      </c>
      <c r="F56" s="752">
        <f t="shared" ref="F56:F70" si="6">E56</f>
        <v>0</v>
      </c>
      <c r="G56" s="748"/>
      <c r="I56"/>
    </row>
    <row r="57" spans="1:10" ht="21" customHeight="1" x14ac:dyDescent="0.25">
      <c r="A57" s="748">
        <v>30</v>
      </c>
      <c r="B57" s="743"/>
      <c r="C57" s="743" t="s">
        <v>603</v>
      </c>
      <c r="D57" s="748" t="s">
        <v>815</v>
      </c>
      <c r="E57" s="752"/>
      <c r="F57" s="752">
        <f t="shared" si="6"/>
        <v>0</v>
      </c>
      <c r="G57" s="748"/>
      <c r="J57" s="64"/>
    </row>
    <row r="58" spans="1:10" ht="21" customHeight="1" x14ac:dyDescent="0.25">
      <c r="A58" s="748">
        <v>31</v>
      </c>
      <c r="B58" s="743"/>
      <c r="C58" s="743" t="s">
        <v>625</v>
      </c>
      <c r="D58" s="748" t="s">
        <v>801</v>
      </c>
      <c r="E58" s="752"/>
      <c r="F58" s="752">
        <f t="shared" si="6"/>
        <v>0</v>
      </c>
      <c r="G58" s="748"/>
      <c r="J58" s="64"/>
    </row>
    <row r="59" spans="1:10" ht="21" customHeight="1" x14ac:dyDescent="0.25">
      <c r="A59" s="748">
        <v>32</v>
      </c>
      <c r="B59" s="743"/>
      <c r="C59" s="743" t="s">
        <v>700</v>
      </c>
      <c r="D59" s="748" t="s">
        <v>807</v>
      </c>
      <c r="E59" s="752"/>
      <c r="F59" s="752">
        <f t="shared" si="6"/>
        <v>0</v>
      </c>
      <c r="G59" s="748"/>
      <c r="J59" s="64"/>
    </row>
    <row r="60" spans="1:10" ht="21" customHeight="1" x14ac:dyDescent="0.25">
      <c r="A60" s="748">
        <v>33</v>
      </c>
      <c r="B60" s="743"/>
      <c r="C60" s="743" t="s">
        <v>789</v>
      </c>
      <c r="D60" s="748" t="s">
        <v>799</v>
      </c>
      <c r="E60" s="752"/>
      <c r="F60" s="752">
        <f t="shared" si="6"/>
        <v>0</v>
      </c>
      <c r="G60" s="748"/>
      <c r="J60" s="64"/>
    </row>
    <row r="61" spans="1:10" ht="21" customHeight="1" x14ac:dyDescent="0.25">
      <c r="A61" s="748">
        <v>34</v>
      </c>
      <c r="B61" s="743"/>
      <c r="C61" s="743" t="s">
        <v>790</v>
      </c>
      <c r="D61" s="748" t="s">
        <v>799</v>
      </c>
      <c r="E61" s="752"/>
      <c r="F61" s="752">
        <f t="shared" si="6"/>
        <v>0</v>
      </c>
      <c r="G61" s="748"/>
      <c r="I61" s="260" t="s">
        <v>828</v>
      </c>
      <c r="J61" s="886">
        <f>F115</f>
        <v>103500000</v>
      </c>
    </row>
    <row r="62" spans="1:10" ht="21" customHeight="1" x14ac:dyDescent="0.25">
      <c r="A62" s="748">
        <v>35</v>
      </c>
      <c r="B62" s="743"/>
      <c r="C62" s="743" t="s">
        <v>791</v>
      </c>
      <c r="D62" s="748" t="s">
        <v>807</v>
      </c>
      <c r="E62" s="752"/>
      <c r="F62" s="752">
        <f t="shared" si="6"/>
        <v>0</v>
      </c>
      <c r="G62" s="748"/>
      <c r="I62" s="260" t="s">
        <v>242</v>
      </c>
      <c r="J62" s="886">
        <v>70000000</v>
      </c>
    </row>
    <row r="63" spans="1:10" ht="21" customHeight="1" x14ac:dyDescent="0.25">
      <c r="A63" s="748">
        <v>36</v>
      </c>
      <c r="B63" s="743"/>
      <c r="C63" s="743" t="s">
        <v>619</v>
      </c>
      <c r="D63" s="748" t="s">
        <v>800</v>
      </c>
      <c r="E63" s="752"/>
      <c r="F63" s="752">
        <f t="shared" si="6"/>
        <v>0</v>
      </c>
      <c r="G63" s="748"/>
      <c r="I63" s="260" t="s">
        <v>837</v>
      </c>
      <c r="J63" s="886">
        <v>16000000</v>
      </c>
    </row>
    <row r="64" spans="1:10" ht="21" customHeight="1" x14ac:dyDescent="0.25">
      <c r="A64" s="748">
        <v>37</v>
      </c>
      <c r="B64" s="743"/>
      <c r="C64" s="743" t="s">
        <v>753</v>
      </c>
      <c r="D64" s="748" t="s">
        <v>807</v>
      </c>
      <c r="E64" s="752"/>
      <c r="F64" s="752">
        <f t="shared" si="6"/>
        <v>0</v>
      </c>
      <c r="G64" s="748"/>
      <c r="I64" s="260" t="s">
        <v>896</v>
      </c>
      <c r="J64" s="886">
        <v>3000000</v>
      </c>
    </row>
    <row r="65" spans="1:10" ht="21" customHeight="1" x14ac:dyDescent="0.25">
      <c r="A65" s="748">
        <v>38</v>
      </c>
      <c r="B65" s="743"/>
      <c r="C65" s="743" t="s">
        <v>82</v>
      </c>
      <c r="D65" s="748" t="s">
        <v>807</v>
      </c>
      <c r="E65" s="752"/>
      <c r="F65" s="752">
        <f t="shared" si="6"/>
        <v>0</v>
      </c>
      <c r="G65" s="748"/>
      <c r="I65" s="260" t="s">
        <v>876</v>
      </c>
      <c r="J65" s="886">
        <v>3000000</v>
      </c>
    </row>
    <row r="66" spans="1:10" ht="21" customHeight="1" x14ac:dyDescent="0.25">
      <c r="A66" s="748">
        <v>39</v>
      </c>
      <c r="B66" s="743"/>
      <c r="C66" s="743" t="s">
        <v>701</v>
      </c>
      <c r="D66" s="748" t="s">
        <v>817</v>
      </c>
      <c r="E66" s="752"/>
      <c r="F66" s="752">
        <f t="shared" si="6"/>
        <v>0</v>
      </c>
      <c r="G66" s="748"/>
      <c r="H66" s="551"/>
      <c r="I66" s="887"/>
      <c r="J66" s="888"/>
    </row>
    <row r="67" spans="1:10" s="551" customFormat="1" ht="21" customHeight="1" x14ac:dyDescent="0.25">
      <c r="A67" s="748">
        <v>40</v>
      </c>
      <c r="B67" s="743"/>
      <c r="C67" s="744" t="s">
        <v>741</v>
      </c>
      <c r="D67" s="748" t="s">
        <v>807</v>
      </c>
      <c r="E67" s="755"/>
      <c r="F67" s="752">
        <f t="shared" si="6"/>
        <v>0</v>
      </c>
      <c r="G67" s="745"/>
      <c r="H67"/>
      <c r="I67" s="887"/>
      <c r="J67" s="889">
        <f>SUM(J61:J66)</f>
        <v>195500000</v>
      </c>
    </row>
    <row r="68" spans="1:10" ht="21" customHeight="1" x14ac:dyDescent="0.25">
      <c r="A68" s="748">
        <v>41</v>
      </c>
      <c r="B68" s="743"/>
      <c r="C68" s="744" t="s">
        <v>784</v>
      </c>
      <c r="D68" s="748" t="s">
        <v>807</v>
      </c>
      <c r="E68" s="755"/>
      <c r="F68" s="752">
        <f t="shared" si="6"/>
        <v>0</v>
      </c>
      <c r="G68" s="745"/>
      <c r="H68" s="551"/>
      <c r="I68" s="551"/>
      <c r="J68" s="792"/>
    </row>
    <row r="69" spans="1:10" ht="21" customHeight="1" x14ac:dyDescent="0.25">
      <c r="A69" s="748"/>
      <c r="B69" s="743"/>
      <c r="C69" s="744" t="s">
        <v>746</v>
      </c>
      <c r="D69" s="748" t="s">
        <v>901</v>
      </c>
      <c r="E69" s="755"/>
      <c r="F69" s="752">
        <f t="shared" si="6"/>
        <v>0</v>
      </c>
      <c r="G69" s="745"/>
      <c r="H69" s="551"/>
      <c r="I69" s="551"/>
      <c r="J69" s="792"/>
    </row>
    <row r="70" spans="1:10" ht="21" customHeight="1" x14ac:dyDescent="0.25">
      <c r="A70" s="748"/>
      <c r="B70" s="743"/>
      <c r="C70" s="744" t="s">
        <v>779</v>
      </c>
      <c r="D70" s="748" t="s">
        <v>901</v>
      </c>
      <c r="E70" s="755"/>
      <c r="F70" s="752">
        <f t="shared" si="6"/>
        <v>0</v>
      </c>
      <c r="G70" s="745"/>
      <c r="H70" s="551"/>
      <c r="I70" s="551"/>
      <c r="J70" s="792"/>
    </row>
    <row r="71" spans="1:10" s="551" customFormat="1" ht="15.75" x14ac:dyDescent="0.25">
      <c r="A71" s="749"/>
      <c r="B71" s="746"/>
      <c r="C71" s="746" t="str">
        <f>'BANG LUONG 1'!C6</f>
        <v>KẾ HOẠCH XỬ LÝ</v>
      </c>
      <c r="D71" s="749"/>
      <c r="E71" s="754"/>
      <c r="F71" s="754"/>
      <c r="G71" s="747"/>
      <c r="H71"/>
      <c r="I71"/>
      <c r="J71"/>
    </row>
    <row r="72" spans="1:10" ht="21.75" customHeight="1" x14ac:dyDescent="0.25">
      <c r="A72" s="748">
        <f>'BANG LUONG 1'!A7</f>
        <v>1</v>
      </c>
      <c r="B72" s="744" t="s">
        <v>118</v>
      </c>
      <c r="C72" s="744" t="str">
        <f>'BANG LUONG 1'!C7</f>
        <v>Nguyễn Trọng Minh</v>
      </c>
      <c r="D72" s="748" t="s">
        <v>816</v>
      </c>
      <c r="E72" s="971">
        <v>4000000</v>
      </c>
      <c r="F72" s="752">
        <f>E72</f>
        <v>4000000</v>
      </c>
      <c r="G72" s="745"/>
      <c r="H72" s="108"/>
      <c r="I72" s="36"/>
    </row>
    <row r="73" spans="1:10" ht="21.75" customHeight="1" x14ac:dyDescent="0.25">
      <c r="A73" s="748">
        <f>'BANG LUONG 1'!A8</f>
        <v>2</v>
      </c>
      <c r="B73" s="743" t="s">
        <v>119</v>
      </c>
      <c r="C73" s="744" t="str">
        <f>'BANG LUONG 1'!C8</f>
        <v xml:space="preserve">Nguyễn Minh Tuấn </v>
      </c>
      <c r="D73" s="748" t="str">
        <f>'BANG LUONG 1'!D8</f>
        <v xml:space="preserve">Công nhân </v>
      </c>
      <c r="E73" s="971">
        <v>3000000</v>
      </c>
      <c r="F73" s="752">
        <f t="shared" ref="F73:F80" si="7">E73</f>
        <v>3000000</v>
      </c>
      <c r="G73" s="745"/>
    </row>
    <row r="74" spans="1:10" ht="21.75" customHeight="1" x14ac:dyDescent="0.25">
      <c r="A74" s="748">
        <f>'BANG LUONG 1'!A10</f>
        <v>4</v>
      </c>
      <c r="B74" s="743" t="s">
        <v>124</v>
      </c>
      <c r="C74" s="744" t="str">
        <f>'BANG LUONG 1'!C10</f>
        <v xml:space="preserve">Triệu Bô Na </v>
      </c>
      <c r="D74" s="748" t="str">
        <f>'BANG LUONG 1'!D10</f>
        <v xml:space="preserve">Công nhân </v>
      </c>
      <c r="E74" s="971">
        <v>4000000</v>
      </c>
      <c r="F74" s="752">
        <f t="shared" si="7"/>
        <v>4000000</v>
      </c>
      <c r="G74" s="745"/>
    </row>
    <row r="75" spans="1:10" ht="21.75" customHeight="1" x14ac:dyDescent="0.25">
      <c r="A75" s="748">
        <f>'BANG LUONG 1'!A11</f>
        <v>5</v>
      </c>
      <c r="B75" s="743" t="s">
        <v>126</v>
      </c>
      <c r="C75" s="744" t="str">
        <f>'BANG LUONG 1'!C11</f>
        <v>Phan Lâm Thương</v>
      </c>
      <c r="D75" s="748" t="str">
        <f>'BANG LUONG 1'!D11</f>
        <v xml:space="preserve">Công nhân </v>
      </c>
      <c r="E75" s="971">
        <v>4000000</v>
      </c>
      <c r="F75" s="752">
        <f t="shared" si="7"/>
        <v>4000000</v>
      </c>
      <c r="G75" s="745"/>
    </row>
    <row r="76" spans="1:10" ht="21.75" customHeight="1" x14ac:dyDescent="0.25">
      <c r="A76" s="748">
        <f>'BANG LUONG 1'!A12</f>
        <v>6</v>
      </c>
      <c r="B76" s="743" t="s">
        <v>127</v>
      </c>
      <c r="C76" s="744" t="str">
        <f>'BANG LUONG 1'!C12</f>
        <v>Nguyễn Bình Luận</v>
      </c>
      <c r="D76" s="748" t="str">
        <f>'BANG LUONG 1'!D12</f>
        <v xml:space="preserve">Công nhân </v>
      </c>
      <c r="E76" s="971">
        <v>4000000</v>
      </c>
      <c r="F76" s="752">
        <f t="shared" si="7"/>
        <v>4000000</v>
      </c>
      <c r="G76" s="745"/>
    </row>
    <row r="77" spans="1:10" ht="21.75" customHeight="1" x14ac:dyDescent="0.25">
      <c r="A77" s="748">
        <f>'BANG LUONG 1'!A13</f>
        <v>7</v>
      </c>
      <c r="B77" s="743" t="s">
        <v>128</v>
      </c>
      <c r="C77" s="744" t="str">
        <f>'BANG LUONG 1'!C13</f>
        <v>Nguyễn Thế Lực</v>
      </c>
      <c r="D77" s="748" t="str">
        <f>'BANG LUONG 1'!D13</f>
        <v xml:space="preserve">Công nhân </v>
      </c>
      <c r="E77" s="971">
        <v>4000000</v>
      </c>
      <c r="F77" s="752">
        <f t="shared" si="7"/>
        <v>4000000</v>
      </c>
      <c r="G77" s="745"/>
    </row>
    <row r="78" spans="1:10" ht="21.75" customHeight="1" x14ac:dyDescent="0.25">
      <c r="A78" s="748">
        <f>'BANG LUONG 1'!A14</f>
        <v>8</v>
      </c>
      <c r="B78" s="748" t="str">
        <f>'BANG LUONG 1'!B14</f>
        <v>NV12</v>
      </c>
      <c r="C78" s="744" t="str">
        <f>'BANG LUONG 1'!C14</f>
        <v>Nguyễn Thành Vân</v>
      </c>
      <c r="D78" s="748" t="str">
        <f>'BANG LUONG 1'!D14</f>
        <v xml:space="preserve">Công nhân </v>
      </c>
      <c r="E78" s="971">
        <v>0</v>
      </c>
      <c r="F78" s="752">
        <f t="shared" si="7"/>
        <v>0</v>
      </c>
      <c r="G78" s="745"/>
    </row>
    <row r="79" spans="1:10" ht="21.75" customHeight="1" x14ac:dyDescent="0.25">
      <c r="A79" s="748">
        <f>'BANG LUONG 1'!A15</f>
        <v>9</v>
      </c>
      <c r="B79" s="748" t="str">
        <f>'BANG LUONG 1'!B15</f>
        <v>NV46</v>
      </c>
      <c r="C79" s="744" t="str">
        <f>'BANG LUONG 1'!C15</f>
        <v>Lương Trường Giang</v>
      </c>
      <c r="D79" s="748" t="str">
        <f>'BANG LUONG 1'!D15</f>
        <v xml:space="preserve">Công nhân </v>
      </c>
      <c r="E79" s="971">
        <v>0</v>
      </c>
      <c r="F79" s="752">
        <f t="shared" si="7"/>
        <v>0</v>
      </c>
      <c r="G79" s="745"/>
    </row>
    <row r="80" spans="1:10" ht="21.75" customHeight="1" x14ac:dyDescent="0.25">
      <c r="A80" s="748">
        <f>'BANG LUONG 1'!A16</f>
        <v>10</v>
      </c>
      <c r="B80" s="748" t="str">
        <f>'BANG LUONG 1'!B16</f>
        <v>NV47</v>
      </c>
      <c r="C80" s="744" t="str">
        <f>'BANG LUONG 1'!C16</f>
        <v>Bùi Trọng Nghĩa</v>
      </c>
      <c r="D80" s="748" t="str">
        <f>'BANG LUONG 1'!D16</f>
        <v xml:space="preserve">Công nhân </v>
      </c>
      <c r="E80" s="971">
        <v>0</v>
      </c>
      <c r="F80" s="752">
        <f t="shared" si="7"/>
        <v>0</v>
      </c>
      <c r="G80" s="745"/>
      <c r="H80" s="674"/>
      <c r="I80" s="777"/>
      <c r="J80" s="36"/>
    </row>
    <row r="81" spans="1:10" s="36" customFormat="1" ht="25.5" customHeight="1" x14ac:dyDescent="0.25">
      <c r="A81" s="748">
        <f>'BANG LUONG 1'!A17</f>
        <v>11</v>
      </c>
      <c r="B81" s="744" t="str">
        <f>'BANG LUONG 1'!B17</f>
        <v>NV38</v>
      </c>
      <c r="C81" s="744" t="str">
        <f>'BANG LUONG 1'!C17</f>
        <v>Nguyễn Văn Rắng</v>
      </c>
      <c r="D81" s="748" t="str">
        <f>'BANG LUONG 1'!D17</f>
        <v xml:space="preserve">Công nhân </v>
      </c>
      <c r="E81" s="971">
        <v>3000000</v>
      </c>
      <c r="F81" s="757">
        <f>E81</f>
        <v>3000000</v>
      </c>
      <c r="G81" s="744"/>
      <c r="H81"/>
      <c r="I81" s="551"/>
      <c r="J81"/>
    </row>
    <row r="82" spans="1:10" ht="22.5" customHeight="1" x14ac:dyDescent="0.25">
      <c r="A82" s="748">
        <f>'BANG LUONG 1'!A18</f>
        <v>12</v>
      </c>
      <c r="B82" s="744" t="str">
        <f>'BANG LUONG 1'!B18</f>
        <v>NV29</v>
      </c>
      <c r="C82" s="744" t="str">
        <f>'BANG LUONG 1'!C18</f>
        <v>Phan Văn Bạn</v>
      </c>
      <c r="D82" s="748" t="str">
        <f>'BANG LUONG 1'!D18</f>
        <v>Lái xe cơ giới</v>
      </c>
      <c r="E82" s="971">
        <v>3000000</v>
      </c>
      <c r="F82" s="757">
        <f>E82</f>
        <v>3000000</v>
      </c>
      <c r="G82" s="745"/>
      <c r="H82" s="792"/>
      <c r="I82" s="777"/>
    </row>
    <row r="83" spans="1:10" ht="15.75" x14ac:dyDescent="0.25">
      <c r="A83" s="749" t="str">
        <f>'BANG LUONG 1'!A19</f>
        <v>J</v>
      </c>
      <c r="B83" s="746"/>
      <c r="C83" s="746" t="str">
        <f>'BANG LUONG 1'!C19</f>
        <v>TÀI XẾ</v>
      </c>
      <c r="D83" s="749"/>
      <c r="E83" s="754"/>
      <c r="F83" s="754"/>
      <c r="G83" s="747"/>
      <c r="I83" s="551"/>
    </row>
    <row r="84" spans="1:10" ht="22.5" customHeight="1" x14ac:dyDescent="0.25">
      <c r="A84" s="748">
        <f>'BANG LUONG 1'!A20</f>
        <v>13</v>
      </c>
      <c r="B84" s="744" t="str">
        <f>'BANG LUONG 1'!B20</f>
        <v>NV13</v>
      </c>
      <c r="C84" s="744" t="str">
        <f>'BANG LUONG 1'!C20</f>
        <v>Triệu Minh Tú</v>
      </c>
      <c r="D84" s="748" t="str">
        <f>'BANG LUONG 1'!D20</f>
        <v>Lái xe cơ giới</v>
      </c>
      <c r="E84" s="971">
        <v>4000000</v>
      </c>
      <c r="F84" s="757">
        <f>E84</f>
        <v>4000000</v>
      </c>
      <c r="G84" s="745"/>
    </row>
    <row r="85" spans="1:10" ht="22.5" customHeight="1" x14ac:dyDescent="0.25">
      <c r="A85" s="748">
        <f>'BANG LUONG 1'!A21</f>
        <v>14</v>
      </c>
      <c r="B85" s="744" t="str">
        <f>'BANG LUONG 1'!B21</f>
        <v>NV14</v>
      </c>
      <c r="C85" s="744" t="str">
        <f>'BANG LUONG 1'!C21</f>
        <v>Nguyễn Văn Chạy</v>
      </c>
      <c r="D85" s="748" t="str">
        <f>'BANG LUONG 1'!D21</f>
        <v>Lái xe cơ giới</v>
      </c>
      <c r="E85" s="971">
        <v>3000000</v>
      </c>
      <c r="F85" s="757">
        <f t="shared" ref="F85:F102" si="8">E85</f>
        <v>3000000</v>
      </c>
      <c r="G85" s="745"/>
      <c r="I85" s="551"/>
    </row>
    <row r="86" spans="1:10" ht="22.5" customHeight="1" x14ac:dyDescent="0.25">
      <c r="A86" s="748">
        <f>'BANG LUONG 1'!A22</f>
        <v>15</v>
      </c>
      <c r="B86" s="744" t="str">
        <f>'BANG LUONG 1'!B22</f>
        <v>NV15</v>
      </c>
      <c r="C86" s="744" t="str">
        <f>'BANG LUONG 1'!C22</f>
        <v>Hà Hoàng Hùng</v>
      </c>
      <c r="D86" s="748" t="str">
        <f>'BANG LUONG 1'!D22</f>
        <v>Lái xe cơ giới</v>
      </c>
      <c r="E86" s="755">
        <v>0</v>
      </c>
      <c r="F86" s="757">
        <f t="shared" si="8"/>
        <v>0</v>
      </c>
      <c r="G86" s="745"/>
      <c r="H86" s="36"/>
      <c r="J86" s="36"/>
    </row>
    <row r="87" spans="1:10" s="36" customFormat="1" ht="22.5" customHeight="1" x14ac:dyDescent="0.25">
      <c r="A87" s="748">
        <f>'BANG LUONG 1'!A23</f>
        <v>16</v>
      </c>
      <c r="B87" s="744" t="str">
        <f>'BANG LUONG 1'!B23</f>
        <v>NV16</v>
      </c>
      <c r="C87" s="744" t="str">
        <f>'BANG LUONG 1'!C23</f>
        <v>Châu Thành Nhân</v>
      </c>
      <c r="D87" s="748" t="str">
        <f>'BANG LUONG 1'!D23</f>
        <v>Lái xe cơ giới</v>
      </c>
      <c r="E87" s="971">
        <v>5000000</v>
      </c>
      <c r="F87" s="757">
        <f t="shared" si="8"/>
        <v>5000000</v>
      </c>
      <c r="G87" s="744"/>
      <c r="I87" s="551"/>
    </row>
    <row r="88" spans="1:10" s="36" customFormat="1" ht="22.5" customHeight="1" x14ac:dyDescent="0.25">
      <c r="A88" s="748">
        <f>'BANG LUONG 1'!A24</f>
        <v>17</v>
      </c>
      <c r="B88" s="744" t="str">
        <f>'BANG LUONG 1'!B24</f>
        <v>NV18</v>
      </c>
      <c r="C88" s="744" t="str">
        <f>'BANG LUONG 1'!C24</f>
        <v>Châu Văn Phước</v>
      </c>
      <c r="D88" s="748" t="str">
        <f>'BANG LUONG 1'!D24</f>
        <v>Lái xe cơ giới</v>
      </c>
      <c r="E88" s="755">
        <v>0</v>
      </c>
      <c r="F88" s="757">
        <f t="shared" si="8"/>
        <v>0</v>
      </c>
      <c r="G88" s="744"/>
      <c r="H88" s="712"/>
      <c r="I88" s="551"/>
      <c r="J88" s="712"/>
    </row>
    <row r="89" spans="1:10" s="712" customFormat="1" ht="22.5" customHeight="1" x14ac:dyDescent="0.25">
      <c r="A89" s="748">
        <f>'BANG LUONG 1'!A25</f>
        <v>18</v>
      </c>
      <c r="B89" s="744" t="str">
        <f>'BANG LUONG 1'!B25</f>
        <v>NV19</v>
      </c>
      <c r="C89" s="744" t="str">
        <f>'BANG LUONG 1'!C25</f>
        <v>Thạch Giàu</v>
      </c>
      <c r="D89" s="748" t="str">
        <f>'BANG LUONG 1'!D25</f>
        <v>Lái xe cơ giới</v>
      </c>
      <c r="E89" s="755">
        <v>0</v>
      </c>
      <c r="F89" s="757">
        <f t="shared" si="8"/>
        <v>0</v>
      </c>
      <c r="G89" s="744"/>
      <c r="H89"/>
      <c r="I89" s="551"/>
      <c r="J89"/>
    </row>
    <row r="90" spans="1:10" ht="22.5" customHeight="1" x14ac:dyDescent="0.25">
      <c r="A90" s="748">
        <f>'BANG LUONG 1'!A26</f>
        <v>19</v>
      </c>
      <c r="B90" s="744" t="str">
        <f>'BANG LUONG 1'!B26</f>
        <v>NV20</v>
      </c>
      <c r="C90" s="744" t="str">
        <f>'BANG LUONG 1'!C26</f>
        <v>Trần Thanh Hậu</v>
      </c>
      <c r="D90" s="748" t="str">
        <f>'BANG LUONG 1'!D26</f>
        <v>Lái xe cơ giới</v>
      </c>
      <c r="E90" s="971">
        <v>3000000</v>
      </c>
      <c r="F90" s="757">
        <f t="shared" si="8"/>
        <v>3000000</v>
      </c>
      <c r="G90" s="745"/>
      <c r="H90" s="551"/>
      <c r="I90" s="551"/>
      <c r="J90" s="551"/>
    </row>
    <row r="91" spans="1:10" s="551" customFormat="1" ht="22.5" customHeight="1" x14ac:dyDescent="0.25">
      <c r="A91" s="748">
        <f>'BANG LUONG 1'!A27</f>
        <v>20</v>
      </c>
      <c r="B91" s="744" t="str">
        <f>'BANG LUONG 1'!B27</f>
        <v>NV21</v>
      </c>
      <c r="C91" s="744" t="str">
        <f>'BANG LUONG 1'!C27</f>
        <v xml:space="preserve">Trần Văn Thứ </v>
      </c>
      <c r="D91" s="748" t="str">
        <f>'BANG LUONG 1'!D27</f>
        <v>Lái xe cơ giới</v>
      </c>
      <c r="E91" s="971">
        <v>4000000</v>
      </c>
      <c r="F91" s="757">
        <f t="shared" si="8"/>
        <v>4000000</v>
      </c>
      <c r="G91" s="745"/>
      <c r="H91"/>
      <c r="J91"/>
    </row>
    <row r="92" spans="1:10" ht="22.5" customHeight="1" x14ac:dyDescent="0.25">
      <c r="A92" s="748">
        <f>'BANG LUONG 1'!A28</f>
        <v>21</v>
      </c>
      <c r="B92" s="744" t="str">
        <f>'BANG LUONG 1'!B28</f>
        <v>NV22</v>
      </c>
      <c r="C92" s="744" t="str">
        <f>'BANG LUONG 1'!C28</f>
        <v>Lê Tấn Phát</v>
      </c>
      <c r="D92" s="748" t="str">
        <f>'BANG LUONG 1'!D28</f>
        <v>Lái xe cơ giới</v>
      </c>
      <c r="E92" s="755">
        <v>0</v>
      </c>
      <c r="F92" s="757">
        <f t="shared" si="8"/>
        <v>0</v>
      </c>
      <c r="G92" s="745"/>
      <c r="H92" s="108"/>
      <c r="I92" s="551"/>
    </row>
    <row r="93" spans="1:10" ht="22.5" customHeight="1" x14ac:dyDescent="0.25">
      <c r="A93" s="748">
        <f>'BANG LUONG 1'!A29</f>
        <v>22</v>
      </c>
      <c r="B93" s="744" t="str">
        <f>'BANG LUONG 1'!B29</f>
        <v>NV23</v>
      </c>
      <c r="C93" s="744" t="str">
        <f>'BANG LUONG 1'!C29</f>
        <v>Quách Văn Chánh</v>
      </c>
      <c r="D93" s="748" t="str">
        <f>'BANG LUONG 1'!D29</f>
        <v xml:space="preserve">Công nhân </v>
      </c>
      <c r="E93" s="971">
        <v>3000000</v>
      </c>
      <c r="F93" s="757">
        <f t="shared" si="8"/>
        <v>3000000</v>
      </c>
      <c r="G93" s="745"/>
      <c r="H93" s="863"/>
      <c r="I93" s="792"/>
    </row>
    <row r="94" spans="1:10" ht="22.5" customHeight="1" x14ac:dyDescent="0.25">
      <c r="A94" s="748">
        <f>'BANG LUONG 1'!A30</f>
        <v>23</v>
      </c>
      <c r="B94" s="744" t="str">
        <f>'BANG LUONG 1'!B30</f>
        <v>NV24</v>
      </c>
      <c r="C94" s="744" t="str">
        <f>'BANG LUONG 1'!C30</f>
        <v>Trần văn Nguyện</v>
      </c>
      <c r="D94" s="748" t="str">
        <f>'BANG LUONG 1'!D30</f>
        <v>Công nhân  (TX )</v>
      </c>
      <c r="E94" s="755">
        <v>0</v>
      </c>
      <c r="F94" s="757">
        <f t="shared" si="8"/>
        <v>0</v>
      </c>
      <c r="G94" s="745"/>
      <c r="H94" s="792"/>
      <c r="I94" s="792"/>
      <c r="J94" s="551"/>
    </row>
    <row r="95" spans="1:10" s="551" customFormat="1" ht="22.5" customHeight="1" x14ac:dyDescent="0.25">
      <c r="A95" s="748">
        <f>'BANG LUONG 1'!A31</f>
        <v>24</v>
      </c>
      <c r="B95" s="744" t="str">
        <f>'BANG LUONG 1'!B31</f>
        <v>NV25</v>
      </c>
      <c r="C95" s="744" t="str">
        <f>'BANG LUONG 1'!C31</f>
        <v>Châu Văn Tâm</v>
      </c>
      <c r="D95" s="748" t="str">
        <f>'BANG LUONG 1'!D31</f>
        <v>Lái xe cơ giới</v>
      </c>
      <c r="E95" s="971">
        <v>4000000</v>
      </c>
      <c r="F95" s="757">
        <f t="shared" si="8"/>
        <v>4000000</v>
      </c>
      <c r="G95" s="745"/>
      <c r="H95" s="792"/>
      <c r="I95" s="777"/>
    </row>
    <row r="96" spans="1:10" s="551" customFormat="1" ht="22.5" customHeight="1" x14ac:dyDescent="0.25">
      <c r="A96" s="748">
        <f>'BANG LUONG 1'!A32</f>
        <v>25</v>
      </c>
      <c r="B96" s="744" t="str">
        <f>'BANG LUONG 1'!B32</f>
        <v>NV26</v>
      </c>
      <c r="C96" s="744" t="str">
        <f>'BANG LUONG 1'!C32</f>
        <v>Trần Ngọc Sơn</v>
      </c>
      <c r="D96" s="748" t="str">
        <f>'BANG LUONG 1'!D32</f>
        <v>Lái xe cơ giới</v>
      </c>
      <c r="E96" s="971">
        <v>3000000</v>
      </c>
      <c r="F96" s="757">
        <f t="shared" si="8"/>
        <v>3000000</v>
      </c>
      <c r="G96" s="745"/>
      <c r="H96" s="792"/>
      <c r="I96" s="777"/>
    </row>
    <row r="97" spans="1:10" s="551" customFormat="1" ht="22.5" customHeight="1" x14ac:dyDescent="0.25">
      <c r="A97" s="748">
        <f>'BANG LUONG 1'!A33</f>
        <v>26</v>
      </c>
      <c r="B97" s="744" t="str">
        <f>'BANG LUONG 1'!B33</f>
        <v>NV27</v>
      </c>
      <c r="C97" s="744" t="str">
        <f>'BANG LUONG 1'!C33</f>
        <v>Nguyễn Văn Tuấn</v>
      </c>
      <c r="D97" s="748" t="str">
        <f>'BANG LUONG 1'!D33</f>
        <v>Lái xe cơ giới</v>
      </c>
      <c r="E97" s="971">
        <v>3000000</v>
      </c>
      <c r="F97" s="757">
        <f t="shared" si="8"/>
        <v>3000000</v>
      </c>
      <c r="G97" s="745"/>
      <c r="H97" s="777"/>
      <c r="I97" s="64"/>
      <c r="J97" s="36"/>
    </row>
    <row r="98" spans="1:10" s="36" customFormat="1" ht="22.5" customHeight="1" x14ac:dyDescent="0.25">
      <c r="A98" s="748">
        <f>'BANG LUONG 1'!A34</f>
        <v>27</v>
      </c>
      <c r="B98" s="744" t="str">
        <f>'BANG LUONG 1'!B34</f>
        <v>NV28</v>
      </c>
      <c r="C98" s="744" t="str">
        <f>'BANG LUONG 1'!C34</f>
        <v>Hà Thanh Truyền</v>
      </c>
      <c r="D98" s="748" t="str">
        <f>'BANG LUONG 1'!D34</f>
        <v>Lái xe cơ giới</v>
      </c>
      <c r="E98" s="971">
        <v>4000000</v>
      </c>
      <c r="F98" s="757">
        <f t="shared" si="8"/>
        <v>4000000</v>
      </c>
      <c r="G98" s="744"/>
      <c r="H98" s="792"/>
      <c r="I98" s="64"/>
      <c r="J98"/>
    </row>
    <row r="99" spans="1:10" ht="22.5" customHeight="1" x14ac:dyDescent="0.25">
      <c r="A99" s="748">
        <f>'BANG LUONG 1'!A35</f>
        <v>28</v>
      </c>
      <c r="B99" s="744" t="str">
        <f>'BANG LUONG 1'!B35</f>
        <v>NV30</v>
      </c>
      <c r="C99" s="744" t="str">
        <f>'BANG LUONG 1'!C35</f>
        <v>Lê Minh Trọng</v>
      </c>
      <c r="D99" s="748" t="str">
        <f>'BANG LUONG 1'!D35</f>
        <v>Lái xe cơ giới</v>
      </c>
      <c r="E99" s="971">
        <v>4000000</v>
      </c>
      <c r="F99" s="757">
        <f t="shared" si="8"/>
        <v>4000000</v>
      </c>
      <c r="G99" s="745"/>
      <c r="H99" s="792"/>
      <c r="I99" s="777"/>
      <c r="J99" s="551"/>
    </row>
    <row r="100" spans="1:10" s="551" customFormat="1" ht="22.5" customHeight="1" x14ac:dyDescent="0.25">
      <c r="A100" s="748">
        <f>'BANG LUONG 1'!A36</f>
        <v>29</v>
      </c>
      <c r="B100" s="744" t="str">
        <f>'BANG LUONG 1'!B36</f>
        <v>NV31</v>
      </c>
      <c r="C100" s="744" t="str">
        <f>'BANG LUONG 1'!C36</f>
        <v>Nguyễn Văn Lâm</v>
      </c>
      <c r="D100" s="748" t="str">
        <f>'BANG LUONG 1'!D36</f>
        <v>Lái xe cơ giới</v>
      </c>
      <c r="E100" s="971">
        <v>3500000</v>
      </c>
      <c r="F100" s="757">
        <f t="shared" si="8"/>
        <v>3500000</v>
      </c>
      <c r="G100" s="745"/>
      <c r="H100" s="792"/>
      <c r="I100" s="777"/>
    </row>
    <row r="101" spans="1:10" s="551" customFormat="1" ht="22.5" customHeight="1" x14ac:dyDescent="0.25">
      <c r="A101" s="748">
        <f>'BANG LUONG 1'!A37</f>
        <v>30</v>
      </c>
      <c r="B101" s="744" t="str">
        <f>'BANG LUONG 1'!B37</f>
        <v>NV32</v>
      </c>
      <c r="C101" s="744" t="str">
        <f>'BANG LUONG 1'!C37</f>
        <v>Lương Minh Tâm</v>
      </c>
      <c r="D101" s="748" t="str">
        <f>'BANG LUONG 1'!D37</f>
        <v>Vận hành xe xúc BH</v>
      </c>
      <c r="E101" s="971">
        <v>4000000</v>
      </c>
      <c r="F101" s="757">
        <f t="shared" si="8"/>
        <v>4000000</v>
      </c>
      <c r="G101" s="745"/>
      <c r="H101" s="792"/>
      <c r="I101" s="777"/>
    </row>
    <row r="102" spans="1:10" s="551" customFormat="1" ht="22.5" customHeight="1" x14ac:dyDescent="0.25">
      <c r="A102" s="748">
        <f>'BANG LUONG 1'!A38</f>
        <v>31</v>
      </c>
      <c r="B102" s="744" t="str">
        <f>'BANG LUONG 1'!B38</f>
        <v>NV33</v>
      </c>
      <c r="C102" s="744" t="str">
        <f>'BANG LUONG 1'!C38</f>
        <v>Nguyễn Thành Tài</v>
      </c>
      <c r="D102" s="748" t="str">
        <f>'BANG LUONG 1'!D38</f>
        <v>Lái xe nâng</v>
      </c>
      <c r="E102" s="755">
        <v>0</v>
      </c>
      <c r="F102" s="757">
        <f t="shared" si="8"/>
        <v>0</v>
      </c>
      <c r="G102" s="745"/>
      <c r="H102" s="792"/>
      <c r="I102" s="777"/>
    </row>
    <row r="103" spans="1:10" s="551" customFormat="1" ht="31.5" x14ac:dyDescent="0.25">
      <c r="A103" s="749" t="str">
        <f>'BANG LUONG 1'!A39</f>
        <v>G</v>
      </c>
      <c r="B103" s="746"/>
      <c r="C103" s="746" t="str">
        <f>'BANG LUONG 1'!C39</f>
        <v>VỆ SINH - MÔI TRƯỜNG</v>
      </c>
      <c r="D103" s="749"/>
      <c r="E103" s="754"/>
      <c r="F103" s="754"/>
      <c r="G103" s="754"/>
      <c r="I103" s="777"/>
      <c r="J103" s="792"/>
    </row>
    <row r="104" spans="1:10" s="792" customFormat="1" ht="25.5" customHeight="1" x14ac:dyDescent="0.25">
      <c r="A104" s="748"/>
      <c r="B104" s="744"/>
      <c r="C104" s="744" t="s">
        <v>547</v>
      </c>
      <c r="D104" s="748" t="s">
        <v>819</v>
      </c>
      <c r="E104" s="755">
        <v>0</v>
      </c>
      <c r="F104" s="757">
        <f>E104</f>
        <v>0</v>
      </c>
      <c r="G104" s="755"/>
      <c r="H104" s="551"/>
      <c r="I104" s="777"/>
    </row>
    <row r="105" spans="1:10" s="792" customFormat="1" ht="25.5" customHeight="1" x14ac:dyDescent="0.25">
      <c r="A105" s="748"/>
      <c r="B105" s="744"/>
      <c r="C105" s="744" t="s">
        <v>835</v>
      </c>
      <c r="D105" s="748" t="s">
        <v>836</v>
      </c>
      <c r="E105" s="755"/>
      <c r="F105" s="757">
        <f>E105</f>
        <v>0</v>
      </c>
      <c r="G105" s="755"/>
      <c r="H105"/>
      <c r="I105" s="777"/>
      <c r="J105" s="551"/>
    </row>
    <row r="106" spans="1:10" s="792" customFormat="1" ht="25.5" customHeight="1" x14ac:dyDescent="0.25">
      <c r="A106" s="748"/>
      <c r="B106" s="744"/>
      <c r="C106" s="744" t="s">
        <v>910</v>
      </c>
      <c r="D106" s="748" t="s">
        <v>911</v>
      </c>
      <c r="E106" s="755"/>
      <c r="F106" s="757">
        <f>E106</f>
        <v>0</v>
      </c>
      <c r="G106" s="755"/>
      <c r="H106"/>
      <c r="I106" s="777"/>
      <c r="J106" s="551"/>
    </row>
    <row r="107" spans="1:10" s="551" customFormat="1" ht="25.5" customHeight="1" x14ac:dyDescent="0.25">
      <c r="A107" s="748">
        <f>'BANG LUONG 1'!A40</f>
        <v>32</v>
      </c>
      <c r="B107" s="744" t="str">
        <f>'BANG LUONG 1'!B40</f>
        <v>NV34</v>
      </c>
      <c r="C107" s="744" t="str">
        <f>'BANG LUONG 1'!C40</f>
        <v>Nguyễn Văn Mèo</v>
      </c>
      <c r="D107" s="748" t="str">
        <f>'BANG LUONG 1'!D40</f>
        <v>Công nhân</v>
      </c>
      <c r="E107" s="971">
        <v>4000000</v>
      </c>
      <c r="F107" s="757">
        <f t="shared" ref="F107:F114" si="9">E107</f>
        <v>4000000</v>
      </c>
      <c r="G107" s="745"/>
      <c r="I107" s="777"/>
      <c r="J107"/>
    </row>
    <row r="108" spans="1:10" ht="25.5" customHeight="1" x14ac:dyDescent="0.25">
      <c r="A108" s="748">
        <f>'BANG LUONG 1'!A41</f>
        <v>33</v>
      </c>
      <c r="B108" s="744" t="str">
        <f>'BANG LUONG 1'!B41</f>
        <v>NV35</v>
      </c>
      <c r="C108" s="744" t="str">
        <f>'BANG LUONG 1'!C41</f>
        <v>Nguyễn Văn Phụng</v>
      </c>
      <c r="D108" s="748" t="str">
        <f>'BANG LUONG 1'!D41</f>
        <v xml:space="preserve">Công nhân </v>
      </c>
      <c r="E108" s="971">
        <v>4000000</v>
      </c>
      <c r="F108" s="757">
        <f t="shared" si="9"/>
        <v>4000000</v>
      </c>
      <c r="G108" s="745"/>
      <c r="H108" s="36"/>
      <c r="I108" s="777"/>
    </row>
    <row r="109" spans="1:10" ht="25.5" customHeight="1" x14ac:dyDescent="0.25">
      <c r="A109" s="748">
        <f>'BANG LUONG 1'!A42</f>
        <v>34</v>
      </c>
      <c r="B109" s="744" t="str">
        <f>'BANG LUONG 1'!B42</f>
        <v>NV37</v>
      </c>
      <c r="C109" s="744" t="str">
        <f>'BANG LUONG 1'!C42</f>
        <v>Nguyễn Tấn Kiệt</v>
      </c>
      <c r="D109" s="748" t="str">
        <f>'BANG LUONG 1'!D42</f>
        <v xml:space="preserve">Công nhân </v>
      </c>
      <c r="E109" s="971">
        <v>4000000</v>
      </c>
      <c r="F109" s="757">
        <f t="shared" si="9"/>
        <v>4000000</v>
      </c>
      <c r="G109" s="745"/>
      <c r="H109" s="674"/>
      <c r="I109" s="64"/>
      <c r="J109" s="36"/>
    </row>
    <row r="110" spans="1:10" s="36" customFormat="1" ht="25.5" customHeight="1" x14ac:dyDescent="0.25">
      <c r="A110" s="748">
        <f>'BANG LUONG 1'!A43</f>
        <v>35</v>
      </c>
      <c r="B110" s="744" t="str">
        <f>'BANG LUONG 1'!B43</f>
        <v>NV39</v>
      </c>
      <c r="C110" s="744" t="str">
        <f>'BANG LUONG 1'!C43</f>
        <v>Lê Ngọc Đức</v>
      </c>
      <c r="D110" s="748" t="str">
        <f>'BANG LUONG 1'!D43</f>
        <v xml:space="preserve">Công nhân </v>
      </c>
      <c r="E110" s="971">
        <v>4000000</v>
      </c>
      <c r="F110" s="757">
        <f t="shared" si="9"/>
        <v>4000000</v>
      </c>
      <c r="G110" s="744"/>
      <c r="H110" s="674"/>
      <c r="I110" s="64"/>
    </row>
    <row r="111" spans="1:10" s="36" customFormat="1" ht="25.5" customHeight="1" x14ac:dyDescent="0.25">
      <c r="A111" s="748">
        <f>'BANG LUONG 1'!A44</f>
        <v>36</v>
      </c>
      <c r="B111" s="744" t="str">
        <f>'BANG LUONG 1'!B44</f>
        <v>NV41</v>
      </c>
      <c r="C111" s="744" t="str">
        <f>'BANG LUONG 1'!C44</f>
        <v>Bùi Văn Ây</v>
      </c>
      <c r="D111" s="748" t="str">
        <f>'BANG LUONG 1'!D44</f>
        <v xml:space="preserve">Công nhân </v>
      </c>
      <c r="E111" s="971">
        <v>4000000</v>
      </c>
      <c r="F111" s="757">
        <f t="shared" si="9"/>
        <v>4000000</v>
      </c>
      <c r="G111" s="744"/>
      <c r="H111" s="674"/>
      <c r="I111" s="64"/>
    </row>
    <row r="112" spans="1:10" s="36" customFormat="1" ht="25.5" customHeight="1" x14ac:dyDescent="0.25">
      <c r="A112" s="748">
        <f>'BANG LUONG 1'!A45</f>
        <v>37</v>
      </c>
      <c r="B112" s="744" t="str">
        <f>'BANG LUONG 1'!B45</f>
        <v>NV45</v>
      </c>
      <c r="C112" s="744" t="str">
        <f>'BANG LUONG 1'!C45</f>
        <v>Đặng Hải Bằng</v>
      </c>
      <c r="D112" s="748" t="str">
        <f>'BANG LUONG 1'!D45</f>
        <v xml:space="preserve">Công nhân </v>
      </c>
      <c r="E112" s="755">
        <v>0</v>
      </c>
      <c r="F112" s="757">
        <f t="shared" si="9"/>
        <v>0</v>
      </c>
      <c r="G112" s="744"/>
      <c r="H112" s="551"/>
      <c r="I112" s="64"/>
      <c r="J112" s="551"/>
    </row>
    <row r="113" spans="1:10" s="36" customFormat="1" ht="25.5" customHeight="1" x14ac:dyDescent="0.25">
      <c r="A113" s="748">
        <f>'BANG LUONG 1'!A46</f>
        <v>38</v>
      </c>
      <c r="B113" s="744" t="str">
        <f>'BANG LUONG 1'!B46</f>
        <v>NV49</v>
      </c>
      <c r="C113" s="744" t="str">
        <f>'BANG LUONG 1'!C46</f>
        <v>Nguyễn Đình Tâm</v>
      </c>
      <c r="D113" s="748" t="str">
        <f>'BANG LUONG 1'!D46</f>
        <v xml:space="preserve">Công nhân </v>
      </c>
      <c r="E113" s="971">
        <v>4000000</v>
      </c>
      <c r="F113" s="757">
        <f t="shared" si="9"/>
        <v>4000000</v>
      </c>
      <c r="G113" s="744"/>
      <c r="H113" s="551"/>
      <c r="I113" s="64"/>
      <c r="J113" s="551"/>
    </row>
    <row r="114" spans="1:10" s="36" customFormat="1" ht="25.5" customHeight="1" x14ac:dyDescent="0.25">
      <c r="A114" s="748"/>
      <c r="B114" s="744" t="str">
        <f>'BANG LUONG 1'!B47</f>
        <v>NV51</v>
      </c>
      <c r="C114" s="744" t="str">
        <f>'BANG LUONG 1'!C47</f>
        <v>Nguyễn Văn Chương</v>
      </c>
      <c r="D114" s="748" t="str">
        <f>'BANG LUONG 1'!D47</f>
        <v xml:space="preserve">Công nhân </v>
      </c>
      <c r="E114" s="971">
        <v>3000000</v>
      </c>
      <c r="F114" s="757">
        <f t="shared" si="9"/>
        <v>3000000</v>
      </c>
      <c r="G114" s="744"/>
      <c r="H114" s="551"/>
      <c r="I114" s="64"/>
      <c r="J114" s="551"/>
    </row>
    <row r="115" spans="1:10" s="551" customFormat="1" ht="15.75" x14ac:dyDescent="0.25">
      <c r="A115" s="1008" t="s">
        <v>767</v>
      </c>
      <c r="B115" s="1008"/>
      <c r="C115" s="1008"/>
      <c r="D115" s="1008"/>
      <c r="E115" s="756"/>
      <c r="F115" s="972">
        <f>SUM(F3:F114)</f>
        <v>103500000</v>
      </c>
      <c r="G115" s="750"/>
      <c r="I115" s="64"/>
    </row>
    <row r="116" spans="1:10" s="551" customFormat="1" x14ac:dyDescent="0.25">
      <c r="A116" s="870"/>
      <c r="B116" s="671"/>
      <c r="C116" s="671"/>
      <c r="D116" s="868"/>
      <c r="E116" s="672"/>
      <c r="F116" s="672"/>
      <c r="G116" s="673"/>
      <c r="I116" s="64"/>
    </row>
    <row r="117" spans="1:10" s="551" customFormat="1" ht="15.75" x14ac:dyDescent="0.25">
      <c r="A117" s="871"/>
      <c r="B117" s="759"/>
      <c r="C117" s="758" t="s">
        <v>565</v>
      </c>
      <c r="D117" s="861"/>
      <c r="E117" s="761"/>
      <c r="F117" s="1010" t="s">
        <v>768</v>
      </c>
      <c r="G117" s="1010"/>
      <c r="I117" s="64"/>
    </row>
    <row r="118" spans="1:10" s="551" customFormat="1" ht="15.75" x14ac:dyDescent="0.25">
      <c r="A118" s="871"/>
      <c r="B118" s="759"/>
      <c r="C118" s="760"/>
      <c r="D118" s="861"/>
      <c r="E118" s="761"/>
      <c r="F118" s="761"/>
      <c r="G118" s="762"/>
      <c r="I118" s="64"/>
    </row>
    <row r="119" spans="1:10" s="551" customFormat="1" ht="15.75" x14ac:dyDescent="0.25">
      <c r="A119" s="871"/>
      <c r="B119" s="759"/>
      <c r="C119" s="760"/>
      <c r="D119" s="861"/>
      <c r="E119" s="761"/>
      <c r="F119" s="761"/>
      <c r="G119" s="762"/>
      <c r="I119" s="64"/>
    </row>
    <row r="120" spans="1:10" s="551" customFormat="1" ht="15.75" x14ac:dyDescent="0.25">
      <c r="A120" s="871"/>
      <c r="B120" s="759"/>
      <c r="C120" s="760"/>
      <c r="D120" s="861"/>
      <c r="E120" s="761"/>
      <c r="F120" s="761"/>
      <c r="G120" s="762"/>
      <c r="I120" s="64"/>
    </row>
    <row r="121" spans="1:10" s="551" customFormat="1" ht="15.75" x14ac:dyDescent="0.25">
      <c r="A121" s="871"/>
      <c r="B121" s="759"/>
      <c r="C121" s="760"/>
      <c r="D121" s="861"/>
      <c r="E121" s="761"/>
      <c r="F121" s="761"/>
      <c r="G121" s="762"/>
      <c r="I121"/>
    </row>
    <row r="122" spans="1:10" s="551" customFormat="1" ht="15.75" x14ac:dyDescent="0.25">
      <c r="A122" s="871"/>
      <c r="B122" s="759"/>
      <c r="C122" s="760" t="s">
        <v>761</v>
      </c>
      <c r="D122" s="861"/>
      <c r="E122" s="761"/>
      <c r="F122" s="1009" t="s">
        <v>765</v>
      </c>
      <c r="G122" s="1009"/>
      <c r="H122" s="36"/>
      <c r="I122"/>
    </row>
    <row r="123" spans="1:10" s="551" customFormat="1" ht="15.75" x14ac:dyDescent="0.25">
      <c r="A123" s="871"/>
      <c r="B123" s="759"/>
      <c r="C123" s="760"/>
      <c r="D123" s="861"/>
      <c r="E123" s="761"/>
      <c r="F123" s="763"/>
      <c r="G123" s="763"/>
      <c r="H123" s="712"/>
      <c r="I123"/>
      <c r="J123" s="36"/>
    </row>
    <row r="124" spans="1:10" s="36" customFormat="1" ht="15" hidden="1" customHeight="1" x14ac:dyDescent="0.25">
      <c r="A124" s="1018" t="s">
        <v>740</v>
      </c>
      <c r="B124" s="1019"/>
      <c r="C124" s="1019"/>
      <c r="D124" s="1019"/>
      <c r="E124" s="764"/>
      <c r="F124" s="765"/>
      <c r="G124" s="766"/>
      <c r="H124"/>
      <c r="I124"/>
      <c r="J124" s="712"/>
    </row>
    <row r="125" spans="1:10" s="712" customFormat="1" ht="15" hidden="1" customHeight="1" x14ac:dyDescent="0.25">
      <c r="A125" s="748">
        <f>'BANG LUONG 1'!A49</f>
        <v>40</v>
      </c>
      <c r="B125" s="767" t="str">
        <f>'BANG LUONG 1'!B49</f>
        <v>NV42</v>
      </c>
      <c r="C125" s="767" t="str">
        <f>'BANG LUONG 1'!C49</f>
        <v>Ngô Đình Chung</v>
      </c>
      <c r="D125" s="860" t="str">
        <f>'BANG LUONG 1'!D49</f>
        <v>GS Vườn rau</v>
      </c>
      <c r="E125" s="768">
        <v>2000000</v>
      </c>
      <c r="F125" s="769">
        <f>E125</f>
        <v>2000000</v>
      </c>
      <c r="G125" s="533"/>
      <c r="H125"/>
      <c r="I125"/>
      <c r="J125"/>
    </row>
    <row r="126" spans="1:10" ht="15.75" hidden="1" x14ac:dyDescent="0.25">
      <c r="A126" s="748">
        <f>'BANG LUONG 1'!A50</f>
        <v>41</v>
      </c>
      <c r="B126" s="767" t="str">
        <f>'BANG LUONG 1'!B50</f>
        <v>NV43</v>
      </c>
      <c r="C126" s="767" t="str">
        <f>'BANG LUONG 1'!C50</f>
        <v>Triệu Minh Tuấn</v>
      </c>
      <c r="D126" s="860" t="str">
        <f>'BANG LUONG 1'!D50</f>
        <v xml:space="preserve">Công nhân </v>
      </c>
      <c r="E126" s="768">
        <v>3000000</v>
      </c>
      <c r="F126" s="769">
        <f t="shared" ref="F126:F127" si="10">E126</f>
        <v>3000000</v>
      </c>
      <c r="G126" s="423"/>
      <c r="H126" s="36"/>
    </row>
    <row r="127" spans="1:10" ht="15.75" hidden="1" x14ac:dyDescent="0.25">
      <c r="A127" s="748">
        <f>'BANG LUONG 1'!A51</f>
        <v>42</v>
      </c>
      <c r="B127" s="767" t="str">
        <f>'BANG LUONG 1'!B51</f>
        <v>NV44</v>
      </c>
      <c r="C127" s="767" t="str">
        <f>'BANG LUONG 1'!C51</f>
        <v>Kim Em</v>
      </c>
      <c r="D127" s="860" t="str">
        <f>'BANG LUONG 1'!D51</f>
        <v xml:space="preserve">Công nhân </v>
      </c>
      <c r="E127" s="768">
        <v>3000000</v>
      </c>
      <c r="F127" s="769">
        <f t="shared" si="10"/>
        <v>3000000</v>
      </c>
      <c r="G127" s="423"/>
    </row>
    <row r="128" spans="1:10" ht="21.75" hidden="1" customHeight="1" x14ac:dyDescent="0.25">
      <c r="A128" s="748">
        <f>'BANG LUONG 1'!A52</f>
        <v>43</v>
      </c>
      <c r="B128" s="767" t="str">
        <f>'BANG LUONG 1'!B52</f>
        <v>NV48</v>
      </c>
      <c r="C128" s="767" t="str">
        <f>'BANG LUONG 1'!C52</f>
        <v>Danh Ngòi</v>
      </c>
      <c r="D128" s="885" t="str">
        <f>'BANG LUONG 1'!D52</f>
        <v>Công nhân</v>
      </c>
      <c r="E128" s="755">
        <v>0</v>
      </c>
      <c r="F128" s="752">
        <f>E128</f>
        <v>0</v>
      </c>
      <c r="G128" s="745"/>
      <c r="H128" s="36"/>
      <c r="J128" s="36"/>
    </row>
    <row r="129" spans="1:11" ht="21.75" hidden="1" customHeight="1" x14ac:dyDescent="0.25">
      <c r="A129" s="919"/>
      <c r="B129" s="920"/>
      <c r="C129" s="920" t="s">
        <v>897</v>
      </c>
      <c r="D129" s="921" t="s">
        <v>776</v>
      </c>
      <c r="E129" s="922">
        <v>3000000</v>
      </c>
      <c r="F129" s="752">
        <f>E129</f>
        <v>3000000</v>
      </c>
      <c r="G129" s="923"/>
      <c r="H129" s="36"/>
      <c r="J129" s="36"/>
    </row>
    <row r="130" spans="1:11" s="36" customFormat="1" ht="15.75" hidden="1" x14ac:dyDescent="0.25">
      <c r="A130" s="1015" t="s">
        <v>554</v>
      </c>
      <c r="B130" s="1016"/>
      <c r="C130" s="1016"/>
      <c r="D130" s="1017"/>
      <c r="E130" s="770"/>
      <c r="F130" s="771">
        <f>SUM(F125:F127)</f>
        <v>8000000</v>
      </c>
      <c r="G130" s="772"/>
      <c r="I130"/>
    </row>
    <row r="131" spans="1:11" s="36" customFormat="1" ht="15.75" hidden="1" x14ac:dyDescent="0.25">
      <c r="A131" s="1014" t="s">
        <v>749</v>
      </c>
      <c r="B131" s="1014"/>
      <c r="C131" s="1014"/>
      <c r="D131" s="862"/>
      <c r="E131" s="774"/>
      <c r="F131" s="1014" t="s">
        <v>564</v>
      </c>
      <c r="G131" s="1014"/>
      <c r="I131"/>
    </row>
    <row r="132" spans="1:11" s="36" customFormat="1" ht="15.75" hidden="1" x14ac:dyDescent="0.25">
      <c r="A132" s="862"/>
      <c r="B132" s="773"/>
      <c r="C132" s="773"/>
      <c r="D132" s="862"/>
      <c r="E132" s="774"/>
      <c r="F132" s="773"/>
      <c r="G132" s="773"/>
      <c r="I132"/>
    </row>
    <row r="133" spans="1:11" s="36" customFormat="1" ht="15.75" x14ac:dyDescent="0.25">
      <c r="A133" s="862"/>
      <c r="B133" s="773"/>
      <c r="C133" s="773"/>
      <c r="D133" s="862"/>
      <c r="E133" s="774"/>
      <c r="F133" s="773"/>
      <c r="G133" s="773"/>
      <c r="H133"/>
      <c r="I133"/>
    </row>
    <row r="134" spans="1:11" s="36" customFormat="1" ht="31.5" hidden="1" customHeight="1" x14ac:dyDescent="0.25">
      <c r="A134" s="862"/>
      <c r="B134" s="1020"/>
      <c r="C134" s="1020"/>
      <c r="D134" s="862"/>
      <c r="E134" s="774"/>
      <c r="F134" s="773"/>
      <c r="G134" s="773"/>
      <c r="H134"/>
      <c r="I134"/>
      <c r="J134"/>
    </row>
    <row r="135" spans="1:11" ht="15.75" hidden="1" x14ac:dyDescent="0.25">
      <c r="A135" s="1011" t="s">
        <v>554</v>
      </c>
      <c r="B135" s="1012"/>
      <c r="C135" s="1012"/>
      <c r="D135" s="1013"/>
      <c r="E135" s="775"/>
      <c r="F135" s="534">
        <f>F130+F115</f>
        <v>111500000</v>
      </c>
      <c r="G135" s="423"/>
      <c r="K135" s="36"/>
    </row>
    <row r="136" spans="1:11" hidden="1" x14ac:dyDescent="0.25">
      <c r="K136" s="36"/>
    </row>
    <row r="137" spans="1:11" x14ac:dyDescent="0.25">
      <c r="K137" s="36"/>
    </row>
    <row r="138" spans="1:11" x14ac:dyDescent="0.25">
      <c r="K138" s="36"/>
    </row>
    <row r="139" spans="1:11" x14ac:dyDescent="0.25">
      <c r="K139" s="36"/>
    </row>
    <row r="140" spans="1:11" x14ac:dyDescent="0.25">
      <c r="K140" s="36"/>
    </row>
  </sheetData>
  <mergeCells count="10">
    <mergeCell ref="A1:G1"/>
    <mergeCell ref="A115:D115"/>
    <mergeCell ref="F122:G122"/>
    <mergeCell ref="F117:G117"/>
    <mergeCell ref="A135:D135"/>
    <mergeCell ref="A131:C131"/>
    <mergeCell ref="F131:G131"/>
    <mergeCell ref="A130:D130"/>
    <mergeCell ref="A124:D124"/>
    <mergeCell ref="B134:C134"/>
  </mergeCells>
  <pageMargins left="0.25" right="0" top="1.4173228346456701" bottom="0.43307086614173201" header="3.9370078740157501E-2" footer="0.23622047244094499"/>
  <pageSetup paperSize="9" scale="85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W23"/>
  <sheetViews>
    <sheetView workbookViewId="0">
      <selection activeCell="R40" sqref="R40"/>
    </sheetView>
  </sheetViews>
  <sheetFormatPr defaultRowHeight="15" x14ac:dyDescent="0.25"/>
  <cols>
    <col min="1" max="1" width="35.140625" customWidth="1"/>
    <col min="2" max="2" width="6.85546875" style="30" hidden="1" customWidth="1"/>
    <col min="3" max="3" width="14.7109375" style="30" hidden="1" customWidth="1"/>
    <col min="4" max="4" width="12.5703125" style="30" bestFit="1" customWidth="1"/>
    <col min="5" max="5" width="14.7109375" style="30" hidden="1" customWidth="1"/>
    <col min="6" max="6" width="12.5703125" style="30" bestFit="1" customWidth="1"/>
    <col min="7" max="7" width="14.7109375" style="30" hidden="1" customWidth="1"/>
    <col min="8" max="8" width="12.5703125" style="30" bestFit="1" customWidth="1"/>
    <col min="9" max="9" width="12.5703125" style="30" hidden="1" customWidth="1"/>
    <col min="10" max="10" width="14.7109375" style="30" customWidth="1"/>
    <col min="11" max="11" width="14.7109375" style="30" hidden="1" customWidth="1"/>
    <col min="12" max="12" width="12.5703125" style="30" bestFit="1" customWidth="1"/>
    <col min="13" max="13" width="14.7109375" style="30" hidden="1" customWidth="1"/>
    <col min="14" max="14" width="12.5703125" style="30" bestFit="1" customWidth="1"/>
    <col min="15" max="15" width="14.7109375" style="30" hidden="1" customWidth="1"/>
    <col min="16" max="16" width="12.5703125" style="30" bestFit="1" customWidth="1"/>
    <col min="17" max="17" width="14.7109375" style="30" hidden="1" customWidth="1"/>
    <col min="18" max="18" width="12.5703125" style="30" bestFit="1" customWidth="1"/>
    <col min="19" max="19" width="10.140625" hidden="1" customWidth="1"/>
    <col min="20" max="20" width="12.5703125" bestFit="1" customWidth="1"/>
    <col min="21" max="21" width="10.140625" hidden="1" customWidth="1"/>
    <col min="22" max="22" width="12.5703125" bestFit="1" customWidth="1"/>
    <col min="23" max="23" width="12.7109375" style="119" bestFit="1" customWidth="1"/>
  </cols>
  <sheetData>
    <row r="1" spans="1:23" x14ac:dyDescent="0.25">
      <c r="C1" s="30" t="s">
        <v>511</v>
      </c>
      <c r="D1" s="30" t="s">
        <v>511</v>
      </c>
      <c r="E1" s="30" t="s">
        <v>512</v>
      </c>
      <c r="F1" s="30" t="s">
        <v>512</v>
      </c>
      <c r="G1" s="30" t="s">
        <v>513</v>
      </c>
      <c r="H1" s="30" t="s">
        <v>513</v>
      </c>
      <c r="I1" s="30" t="s">
        <v>514</v>
      </c>
      <c r="J1" s="30" t="s">
        <v>514</v>
      </c>
      <c r="K1" s="30" t="s">
        <v>510</v>
      </c>
      <c r="L1" s="30" t="s">
        <v>510</v>
      </c>
      <c r="M1" s="30" t="s">
        <v>509</v>
      </c>
      <c r="N1" s="30" t="s">
        <v>509</v>
      </c>
      <c r="O1" s="30" t="s">
        <v>508</v>
      </c>
      <c r="P1" s="30" t="s">
        <v>508</v>
      </c>
      <c r="Q1" s="30" t="s">
        <v>507</v>
      </c>
      <c r="R1" s="30" t="s">
        <v>507</v>
      </c>
      <c r="S1" s="157" t="s">
        <v>399</v>
      </c>
      <c r="T1" s="157" t="s">
        <v>399</v>
      </c>
      <c r="U1" s="157" t="s">
        <v>400</v>
      </c>
      <c r="V1" s="157" t="s">
        <v>400</v>
      </c>
    </row>
    <row r="2" spans="1:23" x14ac:dyDescent="0.25">
      <c r="A2" t="s">
        <v>323</v>
      </c>
      <c r="B2" s="121">
        <f>1000/3</f>
        <v>333.33333333333331</v>
      </c>
      <c r="C2" s="30">
        <f>10250+260</f>
        <v>10510</v>
      </c>
      <c r="D2" s="30">
        <f>C2/B2</f>
        <v>31.53</v>
      </c>
      <c r="E2" s="30">
        <v>5850</v>
      </c>
      <c r="F2" s="30">
        <f>E2/B2</f>
        <v>17.55</v>
      </c>
      <c r="G2" s="30">
        <v>11030</v>
      </c>
      <c r="H2" s="30">
        <f>G2/B2</f>
        <v>33.090000000000003</v>
      </c>
      <c r="I2" s="30">
        <v>10698</v>
      </c>
      <c r="J2" s="30">
        <f>I2/B2</f>
        <v>32.094000000000001</v>
      </c>
      <c r="K2" s="30">
        <v>5070</v>
      </c>
      <c r="L2" s="30">
        <f>K2/B2</f>
        <v>15.21</v>
      </c>
      <c r="M2" s="30">
        <v>2320</v>
      </c>
      <c r="N2" s="30">
        <f>M2/B2</f>
        <v>6.96</v>
      </c>
      <c r="O2" s="30">
        <v>4170</v>
      </c>
      <c r="P2" s="30">
        <f>O2/B2</f>
        <v>12.510000000000002</v>
      </c>
      <c r="Q2" s="30">
        <v>4104</v>
      </c>
      <c r="R2" s="30">
        <f>Q2/B2</f>
        <v>12.312000000000001</v>
      </c>
      <c r="S2" s="119">
        <v>4021</v>
      </c>
      <c r="T2">
        <f>S2/B2</f>
        <v>12.063000000000001</v>
      </c>
      <c r="U2" s="118">
        <f>SUM('Công tổng'!V6:V10)</f>
        <v>0</v>
      </c>
      <c r="V2" s="74">
        <f>U2/B2</f>
        <v>0</v>
      </c>
    </row>
    <row r="3" spans="1:23" x14ac:dyDescent="0.25">
      <c r="A3" t="s">
        <v>324</v>
      </c>
      <c r="B3">
        <f>1000/5</f>
        <v>200</v>
      </c>
      <c r="C3" s="30">
        <v>24760</v>
      </c>
      <c r="D3" s="30">
        <f t="shared" ref="D3:D16" si="0">C3/B3</f>
        <v>123.8</v>
      </c>
      <c r="E3" s="30">
        <v>12540</v>
      </c>
      <c r="F3" s="30">
        <f t="shared" ref="F3:F16" si="1">E3/B3</f>
        <v>62.7</v>
      </c>
      <c r="G3" s="30">
        <v>24660</v>
      </c>
      <c r="H3" s="30">
        <f t="shared" ref="H3:H16" si="2">G3/B3</f>
        <v>123.3</v>
      </c>
      <c r="I3" s="30">
        <v>17237</v>
      </c>
      <c r="J3" s="30">
        <f t="shared" ref="J3:J16" si="3">I3/B3</f>
        <v>86.185000000000002</v>
      </c>
      <c r="K3" s="30">
        <v>16332</v>
      </c>
      <c r="L3" s="30">
        <f t="shared" ref="L3:L16" si="4">K3/B3</f>
        <v>81.66</v>
      </c>
      <c r="M3" s="30">
        <v>8671</v>
      </c>
      <c r="N3" s="30">
        <f t="shared" ref="N3:N16" si="5">M3/B3</f>
        <v>43.354999999999997</v>
      </c>
      <c r="O3" s="30">
        <v>9409</v>
      </c>
      <c r="P3" s="30">
        <f t="shared" ref="P3:P16" si="6">O3/B3</f>
        <v>47.045000000000002</v>
      </c>
      <c r="Q3" s="30">
        <v>17657</v>
      </c>
      <c r="R3" s="30">
        <f t="shared" ref="R3:R16" si="7">Q3/B3</f>
        <v>88.284999999999997</v>
      </c>
      <c r="S3" s="119">
        <v>14155</v>
      </c>
      <c r="T3">
        <f t="shared" ref="T3:T16" si="8">S3/B3</f>
        <v>70.775000000000006</v>
      </c>
      <c r="U3" s="118">
        <f>SUM('Công tổng'!W6:W10)</f>
        <v>0</v>
      </c>
      <c r="V3" s="74">
        <f t="shared" ref="V3:V16" si="9">U3/B3</f>
        <v>0</v>
      </c>
    </row>
    <row r="4" spans="1:23" ht="15" customHeight="1" x14ac:dyDescent="0.25">
      <c r="A4" t="s">
        <v>325</v>
      </c>
      <c r="B4">
        <f>1000/10</f>
        <v>100</v>
      </c>
      <c r="C4" s="30">
        <v>9680</v>
      </c>
      <c r="D4" s="30">
        <f t="shared" si="0"/>
        <v>96.8</v>
      </c>
      <c r="E4" s="30">
        <v>5750</v>
      </c>
      <c r="F4" s="30">
        <f t="shared" si="1"/>
        <v>57.5</v>
      </c>
      <c r="G4" s="30">
        <v>15075</v>
      </c>
      <c r="H4" s="30">
        <f t="shared" si="2"/>
        <v>150.75</v>
      </c>
      <c r="I4" s="30">
        <v>7000</v>
      </c>
      <c r="J4" s="30">
        <f t="shared" si="3"/>
        <v>70</v>
      </c>
      <c r="K4" s="30">
        <v>6380</v>
      </c>
      <c r="L4" s="30">
        <f t="shared" si="4"/>
        <v>63.8</v>
      </c>
      <c r="M4" s="30">
        <v>2970</v>
      </c>
      <c r="N4" s="30">
        <f t="shared" si="5"/>
        <v>29.7</v>
      </c>
      <c r="O4" s="30">
        <v>3660</v>
      </c>
      <c r="P4" s="30">
        <f t="shared" si="6"/>
        <v>36.6</v>
      </c>
      <c r="Q4" s="30">
        <v>7261</v>
      </c>
      <c r="R4" s="30">
        <f t="shared" si="7"/>
        <v>72.61</v>
      </c>
      <c r="S4" s="119">
        <v>4719</v>
      </c>
      <c r="T4">
        <f t="shared" si="8"/>
        <v>47.19</v>
      </c>
      <c r="U4" s="118">
        <f>SUM('Công tổng'!X6:X10)</f>
        <v>0</v>
      </c>
      <c r="V4" s="74">
        <f t="shared" si="9"/>
        <v>0</v>
      </c>
      <c r="W4" s="120"/>
    </row>
    <row r="5" spans="1:23" x14ac:dyDescent="0.25">
      <c r="A5" t="s">
        <v>326</v>
      </c>
      <c r="B5">
        <f>1000/20</f>
        <v>50</v>
      </c>
      <c r="C5" s="30">
        <v>53580</v>
      </c>
      <c r="D5" s="30">
        <f t="shared" si="0"/>
        <v>1071.5999999999999</v>
      </c>
      <c r="E5" s="30">
        <v>40670</v>
      </c>
      <c r="F5" s="30">
        <f t="shared" si="1"/>
        <v>813.4</v>
      </c>
      <c r="G5" s="30">
        <v>71399</v>
      </c>
      <c r="H5" s="30">
        <f t="shared" si="2"/>
        <v>1427.98</v>
      </c>
      <c r="I5" s="30">
        <v>33770</v>
      </c>
      <c r="J5" s="30">
        <f t="shared" si="3"/>
        <v>675.4</v>
      </c>
      <c r="K5" s="30">
        <f>32830+5150</f>
        <v>37980</v>
      </c>
      <c r="L5" s="30">
        <f t="shared" si="4"/>
        <v>759.6</v>
      </c>
      <c r="M5" s="30">
        <f>23980+1867</f>
        <v>25847</v>
      </c>
      <c r="N5" s="30">
        <f t="shared" si="5"/>
        <v>516.94000000000005</v>
      </c>
      <c r="O5" s="30">
        <v>36840</v>
      </c>
      <c r="P5" s="30">
        <f t="shared" si="6"/>
        <v>736.8</v>
      </c>
      <c r="Q5" s="30">
        <v>33800</v>
      </c>
      <c r="R5" s="30">
        <f t="shared" si="7"/>
        <v>676</v>
      </c>
      <c r="S5" s="119">
        <v>35188</v>
      </c>
      <c r="T5">
        <f t="shared" si="8"/>
        <v>703.76</v>
      </c>
      <c r="U5" s="118">
        <f>SUM('Công tổng'!Y6:Y10)</f>
        <v>0</v>
      </c>
      <c r="V5" s="74">
        <f t="shared" si="9"/>
        <v>0</v>
      </c>
      <c r="W5" s="120"/>
    </row>
    <row r="6" spans="1:23" x14ac:dyDescent="0.25">
      <c r="A6" t="s">
        <v>327</v>
      </c>
      <c r="B6">
        <f>1000/40</f>
        <v>25</v>
      </c>
      <c r="C6" s="30">
        <f>1363+13*25</f>
        <v>1688</v>
      </c>
      <c r="D6" s="30">
        <f t="shared" si="0"/>
        <v>67.52</v>
      </c>
      <c r="E6" s="30">
        <f>900+23*25</f>
        <v>1475</v>
      </c>
      <c r="F6" s="30">
        <f t="shared" si="1"/>
        <v>59</v>
      </c>
      <c r="G6" s="30">
        <f>2050+11*25</f>
        <v>2325</v>
      </c>
      <c r="H6" s="30">
        <f t="shared" si="2"/>
        <v>93</v>
      </c>
      <c r="I6" s="30">
        <f>390+10*25</f>
        <v>640</v>
      </c>
      <c r="J6" s="30">
        <f t="shared" si="3"/>
        <v>25.6</v>
      </c>
      <c r="K6" s="158"/>
      <c r="L6" s="30">
        <f t="shared" si="4"/>
        <v>0</v>
      </c>
      <c r="M6" s="30">
        <f>1450+2.5*25</f>
        <v>1512.5</v>
      </c>
      <c r="N6" s="30">
        <f t="shared" si="5"/>
        <v>60.5</v>
      </c>
      <c r="O6" s="30">
        <f>4190+125</f>
        <v>4315</v>
      </c>
      <c r="P6" s="30">
        <f t="shared" si="6"/>
        <v>172.6</v>
      </c>
      <c r="Q6" s="30">
        <v>3780</v>
      </c>
      <c r="R6" s="30">
        <f t="shared" si="7"/>
        <v>151.19999999999999</v>
      </c>
      <c r="S6" s="119">
        <f>2300+8*25</f>
        <v>2500</v>
      </c>
      <c r="T6">
        <f t="shared" si="8"/>
        <v>100</v>
      </c>
      <c r="U6" s="118">
        <f>SUM('Công tổng'!Z6:Z10)</f>
        <v>0</v>
      </c>
      <c r="V6" s="74">
        <f t="shared" si="9"/>
        <v>0</v>
      </c>
      <c r="W6" s="120"/>
    </row>
    <row r="7" spans="1:23" x14ac:dyDescent="0.25">
      <c r="A7" t="s">
        <v>328</v>
      </c>
      <c r="B7">
        <f>1000/50</f>
        <v>20</v>
      </c>
      <c r="C7" s="30">
        <v>32210</v>
      </c>
      <c r="D7" s="30">
        <f t="shared" si="0"/>
        <v>1610.5</v>
      </c>
      <c r="E7" s="30">
        <v>24950</v>
      </c>
      <c r="F7" s="30">
        <f t="shared" si="1"/>
        <v>1247.5</v>
      </c>
      <c r="G7" s="30">
        <v>34730</v>
      </c>
      <c r="H7" s="30">
        <f t="shared" si="2"/>
        <v>1736.5</v>
      </c>
      <c r="I7" s="30">
        <v>20650</v>
      </c>
      <c r="J7" s="30">
        <f t="shared" si="3"/>
        <v>1032.5</v>
      </c>
      <c r="K7" s="30">
        <v>20400</v>
      </c>
      <c r="L7" s="30">
        <f t="shared" si="4"/>
        <v>1020</v>
      </c>
      <c r="M7" s="30">
        <v>12150</v>
      </c>
      <c r="N7" s="30">
        <f t="shared" si="5"/>
        <v>607.5</v>
      </c>
      <c r="O7" s="30">
        <v>19028</v>
      </c>
      <c r="P7" s="30">
        <f t="shared" si="6"/>
        <v>951.4</v>
      </c>
      <c r="Q7" s="30">
        <v>21500</v>
      </c>
      <c r="R7" s="30">
        <f t="shared" si="7"/>
        <v>1075</v>
      </c>
      <c r="S7" s="119">
        <v>16800</v>
      </c>
      <c r="T7">
        <f t="shared" si="8"/>
        <v>840</v>
      </c>
      <c r="U7" s="118">
        <f>SUM('Công tổng'!AA6:AA10)</f>
        <v>0</v>
      </c>
      <c r="V7" s="74">
        <f t="shared" si="9"/>
        <v>0</v>
      </c>
      <c r="W7" s="120"/>
    </row>
    <row r="8" spans="1:23" x14ac:dyDescent="0.25">
      <c r="A8" t="s">
        <v>329</v>
      </c>
      <c r="B8">
        <f>1000/100</f>
        <v>10</v>
      </c>
      <c r="D8" s="30">
        <f t="shared" si="0"/>
        <v>0</v>
      </c>
      <c r="F8" s="30">
        <f t="shared" si="1"/>
        <v>0</v>
      </c>
      <c r="H8" s="30">
        <f t="shared" si="2"/>
        <v>0</v>
      </c>
      <c r="J8" s="30">
        <f t="shared" si="3"/>
        <v>0</v>
      </c>
      <c r="L8" s="30">
        <f t="shared" si="4"/>
        <v>0</v>
      </c>
      <c r="N8" s="30">
        <f t="shared" si="5"/>
        <v>0</v>
      </c>
      <c r="P8" s="30">
        <f t="shared" si="6"/>
        <v>0</v>
      </c>
      <c r="R8" s="30">
        <f t="shared" si="7"/>
        <v>0</v>
      </c>
      <c r="T8">
        <f t="shared" si="8"/>
        <v>0</v>
      </c>
      <c r="U8">
        <f>SUM('Công tổng'!AB6:AB10)</f>
        <v>0</v>
      </c>
      <c r="V8" s="74">
        <f t="shared" si="9"/>
        <v>0</v>
      </c>
    </row>
    <row r="9" spans="1:23" x14ac:dyDescent="0.25">
      <c r="A9" t="s">
        <v>330</v>
      </c>
      <c r="B9">
        <f>1000/0.2</f>
        <v>5000</v>
      </c>
      <c r="C9" s="30">
        <v>1680</v>
      </c>
      <c r="D9" s="30">
        <f t="shared" si="0"/>
        <v>0.33600000000000002</v>
      </c>
      <c r="E9" s="30">
        <v>1440</v>
      </c>
      <c r="F9" s="30">
        <f t="shared" si="1"/>
        <v>0.28799999999999998</v>
      </c>
      <c r="G9" s="30">
        <v>480</v>
      </c>
      <c r="H9" s="30">
        <f t="shared" si="2"/>
        <v>9.6000000000000002E-2</v>
      </c>
      <c r="J9" s="30">
        <f t="shared" si="3"/>
        <v>0</v>
      </c>
      <c r="L9" s="30">
        <f t="shared" si="4"/>
        <v>0</v>
      </c>
      <c r="N9" s="30">
        <f t="shared" si="5"/>
        <v>0</v>
      </c>
      <c r="P9" s="30">
        <f t="shared" si="6"/>
        <v>0</v>
      </c>
      <c r="Q9" s="30">
        <v>2000</v>
      </c>
      <c r="R9" s="30">
        <f t="shared" si="7"/>
        <v>0.4</v>
      </c>
      <c r="T9">
        <f t="shared" si="8"/>
        <v>0</v>
      </c>
      <c r="U9">
        <f>SUM('Công tổng'!AC6:AC10)</f>
        <v>0</v>
      </c>
      <c r="V9" s="74">
        <f t="shared" si="9"/>
        <v>0</v>
      </c>
      <c r="W9" s="120"/>
    </row>
    <row r="10" spans="1:23" x14ac:dyDescent="0.25">
      <c r="A10" t="s">
        <v>331</v>
      </c>
      <c r="B10">
        <f>1000/0.5</f>
        <v>2000</v>
      </c>
      <c r="C10" s="30">
        <v>9300</v>
      </c>
      <c r="D10" s="30">
        <f t="shared" si="0"/>
        <v>4.6500000000000004</v>
      </c>
      <c r="E10" s="30">
        <v>6300</v>
      </c>
      <c r="F10" s="30">
        <f t="shared" si="1"/>
        <v>3.15</v>
      </c>
      <c r="G10" s="30">
        <v>18450</v>
      </c>
      <c r="H10" s="30">
        <f t="shared" si="2"/>
        <v>9.2249999999999996</v>
      </c>
      <c r="I10" s="30">
        <v>5615</v>
      </c>
      <c r="J10" s="30">
        <f t="shared" si="3"/>
        <v>2.8075000000000001</v>
      </c>
      <c r="K10" s="30">
        <v>7100</v>
      </c>
      <c r="L10" s="30">
        <f t="shared" si="4"/>
        <v>3.55</v>
      </c>
      <c r="M10" s="30">
        <v>7778</v>
      </c>
      <c r="N10" s="30">
        <f t="shared" si="5"/>
        <v>3.8889999999999998</v>
      </c>
      <c r="O10" s="30">
        <v>11050</v>
      </c>
      <c r="P10" s="30">
        <f t="shared" si="6"/>
        <v>5.5250000000000004</v>
      </c>
      <c r="Q10" s="30">
        <v>9661</v>
      </c>
      <c r="R10" s="30">
        <f t="shared" si="7"/>
        <v>4.8304999999999998</v>
      </c>
      <c r="S10" s="119">
        <v>11256</v>
      </c>
      <c r="T10">
        <f t="shared" si="8"/>
        <v>5.6280000000000001</v>
      </c>
      <c r="U10" s="119">
        <f>SUM('Công tổng'!AD6:AD10)</f>
        <v>0</v>
      </c>
      <c r="V10" s="74">
        <f t="shared" si="9"/>
        <v>0</v>
      </c>
      <c r="W10" s="120"/>
    </row>
    <row r="11" spans="1:23" x14ac:dyDescent="0.25">
      <c r="A11" t="s">
        <v>332</v>
      </c>
      <c r="B11">
        <f>1000/1</f>
        <v>1000</v>
      </c>
      <c r="C11" s="30">
        <v>5115</v>
      </c>
      <c r="D11" s="30">
        <f t="shared" si="0"/>
        <v>5.1150000000000002</v>
      </c>
      <c r="E11" s="30">
        <v>2755</v>
      </c>
      <c r="F11" s="30">
        <f t="shared" si="1"/>
        <v>2.7549999999999999</v>
      </c>
      <c r="G11" s="30">
        <v>16260</v>
      </c>
      <c r="H11" s="30">
        <f t="shared" si="2"/>
        <v>16.260000000000002</v>
      </c>
      <c r="I11" s="30">
        <v>2508</v>
      </c>
      <c r="J11" s="30">
        <f t="shared" si="3"/>
        <v>2.508</v>
      </c>
      <c r="K11" s="30">
        <v>2365</v>
      </c>
      <c r="L11" s="30">
        <f t="shared" si="4"/>
        <v>2.3650000000000002</v>
      </c>
      <c r="M11" s="30">
        <v>1650</v>
      </c>
      <c r="N11" s="30">
        <f t="shared" si="5"/>
        <v>1.65</v>
      </c>
      <c r="O11" s="30">
        <v>545</v>
      </c>
      <c r="P11" s="30">
        <f t="shared" si="6"/>
        <v>0.54500000000000004</v>
      </c>
      <c r="Q11" s="30">
        <v>751</v>
      </c>
      <c r="R11" s="30">
        <f t="shared" si="7"/>
        <v>0.751</v>
      </c>
      <c r="S11" s="119">
        <v>420</v>
      </c>
      <c r="T11">
        <f t="shared" si="8"/>
        <v>0.42</v>
      </c>
      <c r="U11" s="119">
        <f>SUM('Công tổng'!AE6:AE10)</f>
        <v>0</v>
      </c>
      <c r="V11" s="74">
        <f t="shared" si="9"/>
        <v>0</v>
      </c>
      <c r="W11" s="120"/>
    </row>
    <row r="12" spans="1:23" x14ac:dyDescent="0.25">
      <c r="A12" t="s">
        <v>333</v>
      </c>
      <c r="B12">
        <f>1000/10</f>
        <v>100</v>
      </c>
      <c r="C12" s="30">
        <v>836</v>
      </c>
      <c r="D12" s="30">
        <f t="shared" si="0"/>
        <v>8.36</v>
      </c>
      <c r="E12" s="30">
        <f>9719/10</f>
        <v>971.9</v>
      </c>
      <c r="F12" s="30">
        <f t="shared" si="1"/>
        <v>9.7189999999999994</v>
      </c>
      <c r="G12" s="30">
        <v>300</v>
      </c>
      <c r="H12" s="30">
        <f t="shared" si="2"/>
        <v>3</v>
      </c>
      <c r="I12" s="30">
        <v>605</v>
      </c>
      <c r="J12" s="30">
        <f t="shared" si="3"/>
        <v>6.05</v>
      </c>
      <c r="L12" s="30">
        <f t="shared" si="4"/>
        <v>0</v>
      </c>
      <c r="M12" s="30">
        <f>7000/10</f>
        <v>700</v>
      </c>
      <c r="N12" s="30">
        <f t="shared" si="5"/>
        <v>7</v>
      </c>
      <c r="P12" s="30">
        <f t="shared" si="6"/>
        <v>0</v>
      </c>
      <c r="Q12" s="30">
        <v>250</v>
      </c>
      <c r="R12" s="30">
        <f t="shared" si="7"/>
        <v>2.5</v>
      </c>
      <c r="S12">
        <v>200</v>
      </c>
      <c r="T12">
        <f t="shared" si="8"/>
        <v>2</v>
      </c>
      <c r="U12">
        <f>SUM('Công tổng'!AF6:AF10)</f>
        <v>0</v>
      </c>
      <c r="V12" s="74">
        <f t="shared" si="9"/>
        <v>0</v>
      </c>
    </row>
    <row r="13" spans="1:23" x14ac:dyDescent="0.25">
      <c r="A13" t="s">
        <v>334</v>
      </c>
      <c r="B13">
        <f>1000/25</f>
        <v>40</v>
      </c>
      <c r="D13" s="30">
        <f t="shared" si="0"/>
        <v>0</v>
      </c>
      <c r="F13" s="30">
        <f t="shared" si="1"/>
        <v>0</v>
      </c>
      <c r="H13" s="30">
        <f t="shared" si="2"/>
        <v>0</v>
      </c>
      <c r="J13" s="30">
        <f t="shared" si="3"/>
        <v>0</v>
      </c>
      <c r="L13" s="30">
        <f t="shared" si="4"/>
        <v>0</v>
      </c>
      <c r="M13" s="30">
        <v>92</v>
      </c>
      <c r="N13" s="30">
        <f t="shared" si="5"/>
        <v>2.2999999999999998</v>
      </c>
      <c r="P13" s="30">
        <f t="shared" si="6"/>
        <v>0</v>
      </c>
      <c r="Q13" s="30">
        <v>2</v>
      </c>
      <c r="R13" s="30">
        <f t="shared" si="7"/>
        <v>0.05</v>
      </c>
      <c r="S13">
        <v>39</v>
      </c>
      <c r="T13">
        <f t="shared" si="8"/>
        <v>0.97499999999999998</v>
      </c>
      <c r="U13">
        <f>SUM('Công tổng'!AG6:AG10)</f>
        <v>0</v>
      </c>
      <c r="V13" s="74">
        <f t="shared" si="9"/>
        <v>0</v>
      </c>
      <c r="W13" s="120"/>
    </row>
    <row r="14" spans="1:23" x14ac:dyDescent="0.25">
      <c r="A14" t="s">
        <v>335</v>
      </c>
      <c r="B14" s="121">
        <f>1000/35</f>
        <v>28.571428571428573</v>
      </c>
      <c r="D14" s="30">
        <f t="shared" si="0"/>
        <v>0</v>
      </c>
      <c r="F14" s="30">
        <f t="shared" si="1"/>
        <v>0</v>
      </c>
      <c r="H14" s="30">
        <f t="shared" si="2"/>
        <v>0</v>
      </c>
      <c r="I14" s="30">
        <v>2000</v>
      </c>
      <c r="J14" s="30">
        <f t="shared" si="3"/>
        <v>70</v>
      </c>
      <c r="K14" s="30">
        <v>5000</v>
      </c>
      <c r="L14" s="30">
        <f t="shared" si="4"/>
        <v>175</v>
      </c>
      <c r="M14" s="30">
        <v>2185</v>
      </c>
      <c r="N14" s="30">
        <f t="shared" si="5"/>
        <v>76.474999999999994</v>
      </c>
      <c r="O14" s="30">
        <v>7850</v>
      </c>
      <c r="P14" s="30">
        <f t="shared" si="6"/>
        <v>274.75</v>
      </c>
      <c r="Q14" s="30">
        <v>1951</v>
      </c>
      <c r="R14" s="30">
        <f t="shared" si="7"/>
        <v>68.284999999999997</v>
      </c>
      <c r="S14" s="119">
        <v>82</v>
      </c>
      <c r="T14">
        <f t="shared" si="8"/>
        <v>2.8699999999999997</v>
      </c>
      <c r="U14" s="119">
        <f>SUM('Công tổng'!AH6:AH10)</f>
        <v>0</v>
      </c>
      <c r="V14" s="74">
        <f t="shared" si="9"/>
        <v>0</v>
      </c>
      <c r="W14" s="120"/>
    </row>
    <row r="15" spans="1:23" x14ac:dyDescent="0.25">
      <c r="A15" t="s">
        <v>336</v>
      </c>
      <c r="B15">
        <f>1000/40</f>
        <v>25</v>
      </c>
      <c r="C15" s="30">
        <v>882</v>
      </c>
      <c r="D15" s="30">
        <f t="shared" si="0"/>
        <v>35.28</v>
      </c>
      <c r="E15" s="30">
        <v>1080</v>
      </c>
      <c r="F15" s="30">
        <f t="shared" si="1"/>
        <v>43.2</v>
      </c>
      <c r="H15" s="30">
        <f t="shared" si="2"/>
        <v>0</v>
      </c>
      <c r="I15" s="30">
        <v>450</v>
      </c>
      <c r="J15" s="30">
        <f t="shared" si="3"/>
        <v>18</v>
      </c>
      <c r="K15" s="30">
        <v>200</v>
      </c>
      <c r="L15" s="30">
        <f t="shared" si="4"/>
        <v>8</v>
      </c>
      <c r="M15" s="30">
        <v>3495</v>
      </c>
      <c r="N15" s="30">
        <f t="shared" si="5"/>
        <v>139.80000000000001</v>
      </c>
      <c r="P15" s="30">
        <f t="shared" si="6"/>
        <v>0</v>
      </c>
      <c r="R15" s="30">
        <f t="shared" si="7"/>
        <v>0</v>
      </c>
      <c r="S15" s="119">
        <v>660</v>
      </c>
      <c r="T15">
        <f t="shared" si="8"/>
        <v>26.4</v>
      </c>
      <c r="U15" s="119">
        <f>SUM('Công tổng'!AI6:AI10)</f>
        <v>0</v>
      </c>
      <c r="V15" s="74">
        <f t="shared" si="9"/>
        <v>0</v>
      </c>
    </row>
    <row r="16" spans="1:23" x14ac:dyDescent="0.25">
      <c r="A16" t="s">
        <v>337</v>
      </c>
      <c r="B16">
        <f>1000/50</f>
        <v>20</v>
      </c>
      <c r="D16" s="30">
        <f t="shared" si="0"/>
        <v>0</v>
      </c>
      <c r="F16" s="30">
        <f t="shared" si="1"/>
        <v>0</v>
      </c>
      <c r="H16" s="30">
        <f t="shared" si="2"/>
        <v>0</v>
      </c>
      <c r="J16" s="30">
        <f t="shared" si="3"/>
        <v>0</v>
      </c>
      <c r="L16" s="30">
        <f t="shared" si="4"/>
        <v>0</v>
      </c>
      <c r="N16" s="30">
        <f t="shared" si="5"/>
        <v>0</v>
      </c>
      <c r="P16" s="30">
        <f t="shared" si="6"/>
        <v>0</v>
      </c>
      <c r="R16" s="30">
        <f t="shared" si="7"/>
        <v>0</v>
      </c>
      <c r="T16">
        <f t="shared" si="8"/>
        <v>0</v>
      </c>
      <c r="U16">
        <f>SUM('Công tổng'!AJ6:AJ10)</f>
        <v>0</v>
      </c>
      <c r="V16" s="74">
        <f t="shared" si="9"/>
        <v>0</v>
      </c>
    </row>
    <row r="17" spans="1:23" x14ac:dyDescent="0.25">
      <c r="A17" s="67" t="s">
        <v>516</v>
      </c>
      <c r="B17" s="160"/>
      <c r="C17" s="160"/>
      <c r="D17" s="161">
        <f>SUM(D2:D16)</f>
        <v>3055.491</v>
      </c>
      <c r="E17" s="160"/>
      <c r="F17" s="161">
        <f>SUM(F2:F16)</f>
        <v>2316.7620000000002</v>
      </c>
      <c r="G17" s="160"/>
      <c r="H17" s="161">
        <f>SUM(H2:H16)</f>
        <v>3593.201</v>
      </c>
      <c r="I17" s="161">
        <f>SUM(I2:I16)</f>
        <v>101173</v>
      </c>
      <c r="J17" s="161">
        <f>SUM(J2:J16)</f>
        <v>2021.1444999999999</v>
      </c>
      <c r="K17" s="160"/>
      <c r="L17" s="161">
        <f>SUM(L2:L16)</f>
        <v>2129.1849999999999</v>
      </c>
      <c r="M17" s="161"/>
      <c r="N17" s="161">
        <f>SUM(N2:N16)</f>
        <v>1496.0689999999997</v>
      </c>
      <c r="O17" s="161"/>
      <c r="P17" s="161">
        <f>SUM(P2:P16)</f>
        <v>2237.7750000000001</v>
      </c>
      <c r="Q17" s="160"/>
      <c r="R17" s="161">
        <f>SUM(R2:R16)</f>
        <v>2152.2235000000005</v>
      </c>
      <c r="S17" s="67"/>
      <c r="T17" s="161">
        <f>SUM(T2:T16)</f>
        <v>1812.0809999999999</v>
      </c>
      <c r="U17" s="67"/>
      <c r="V17" s="161">
        <f>SUM(V2:V16)</f>
        <v>0</v>
      </c>
      <c r="W17" s="164">
        <f>SUM(D17:V17)/10</f>
        <v>12198.6932</v>
      </c>
    </row>
    <row r="18" spans="1:23" x14ac:dyDescent="0.25">
      <c r="A18" s="67" t="s">
        <v>515</v>
      </c>
      <c r="B18" s="160"/>
      <c r="C18" s="160"/>
      <c r="D18" s="160">
        <v>246360000</v>
      </c>
      <c r="E18" s="160"/>
      <c r="F18" s="160">
        <v>212577000</v>
      </c>
      <c r="G18" s="160"/>
      <c r="H18" s="160">
        <v>254706000</v>
      </c>
      <c r="I18" s="160"/>
      <c r="J18" s="160">
        <v>243656000</v>
      </c>
      <c r="K18" s="160"/>
      <c r="L18" s="160">
        <v>246198000</v>
      </c>
      <c r="M18" s="160"/>
      <c r="N18" s="160">
        <v>227096000</v>
      </c>
      <c r="O18" s="160"/>
      <c r="P18" s="160">
        <v>240846000</v>
      </c>
      <c r="Q18" s="160"/>
      <c r="R18" s="160">
        <v>229558000</v>
      </c>
      <c r="S18" s="160"/>
      <c r="T18" s="161">
        <v>211690000</v>
      </c>
      <c r="U18" s="160"/>
      <c r="V18" s="161">
        <v>231477000</v>
      </c>
      <c r="W18" s="164">
        <f>SUM(D18:V18)/10</f>
        <v>234416400</v>
      </c>
    </row>
    <row r="19" spans="1:23" x14ac:dyDescent="0.25">
      <c r="A19" s="67" t="s">
        <v>517</v>
      </c>
      <c r="B19" s="160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67"/>
      <c r="T19" s="67"/>
      <c r="U19" s="67"/>
      <c r="V19" s="160">
        <v>238567650.75758499</v>
      </c>
    </row>
    <row r="20" spans="1:23" x14ac:dyDescent="0.25">
      <c r="A20" s="162" t="s">
        <v>518</v>
      </c>
      <c r="T20" s="30"/>
      <c r="U20" s="30"/>
      <c r="V20" s="30"/>
    </row>
    <row r="21" spans="1:23" x14ac:dyDescent="0.25">
      <c r="A21" s="163" t="s">
        <v>519</v>
      </c>
    </row>
    <row r="22" spans="1:23" x14ac:dyDescent="0.25">
      <c r="A22" s="163" t="s">
        <v>520</v>
      </c>
    </row>
    <row r="23" spans="1:23" x14ac:dyDescent="0.25">
      <c r="A23" s="163" t="s">
        <v>521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AP53"/>
  <sheetViews>
    <sheetView workbookViewId="0">
      <pane ySplit="4" topLeftCell="A38" activePane="bottomLeft" state="frozen"/>
      <selection pane="bottomLeft" activeCell="AJ46" sqref="AJ46:AP47"/>
    </sheetView>
  </sheetViews>
  <sheetFormatPr defaultRowHeight="15" x14ac:dyDescent="0.25"/>
  <cols>
    <col min="1" max="1" width="5" bestFit="1" customWidth="1"/>
    <col min="2" max="2" width="7.85546875" customWidth="1"/>
    <col min="3" max="3" width="21" customWidth="1"/>
    <col min="4" max="4" width="11.140625" customWidth="1"/>
    <col min="5" max="11" width="2.85546875" customWidth="1"/>
    <col min="12" max="13" width="3.42578125" customWidth="1"/>
    <col min="14" max="35" width="3" bestFit="1" customWidth="1"/>
    <col min="36" max="36" width="6.7109375" customWidth="1"/>
    <col min="37" max="37" width="5.7109375" customWidth="1"/>
    <col min="38" max="38" width="5.28515625" customWidth="1"/>
    <col min="39" max="42" width="6.140625" style="114" customWidth="1"/>
  </cols>
  <sheetData>
    <row r="1" spans="1:42" x14ac:dyDescent="0.25">
      <c r="A1" s="1"/>
      <c r="B1" s="1"/>
      <c r="C1" s="1"/>
      <c r="D1" s="1"/>
    </row>
    <row r="2" spans="1:42" x14ac:dyDescent="0.25">
      <c r="A2" s="1"/>
      <c r="B2" s="1"/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">
        <v>38</v>
      </c>
      <c r="AO2" s="1">
        <v>39</v>
      </c>
      <c r="AP2" s="1">
        <v>40</v>
      </c>
    </row>
    <row r="3" spans="1:42" ht="15" customHeight="1" x14ac:dyDescent="0.25">
      <c r="A3" s="101"/>
      <c r="B3" s="101"/>
      <c r="C3" s="101"/>
      <c r="D3" s="101"/>
      <c r="E3" s="1021" t="s">
        <v>355</v>
      </c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3" t="s">
        <v>391</v>
      </c>
      <c r="AK3" s="1023" t="s">
        <v>390</v>
      </c>
      <c r="AL3" s="1024" t="s">
        <v>392</v>
      </c>
      <c r="AM3" s="1022" t="s">
        <v>393</v>
      </c>
      <c r="AN3" s="1022" t="s">
        <v>394</v>
      </c>
      <c r="AO3" s="1022" t="s">
        <v>395</v>
      </c>
      <c r="AP3" s="1022" t="s">
        <v>396</v>
      </c>
    </row>
    <row r="4" spans="1:42" ht="30" customHeight="1" x14ac:dyDescent="0.25">
      <c r="A4" s="102" t="s">
        <v>0</v>
      </c>
      <c r="B4" s="102" t="s">
        <v>284</v>
      </c>
      <c r="C4" s="102" t="s">
        <v>2</v>
      </c>
      <c r="D4" s="103" t="s">
        <v>3</v>
      </c>
      <c r="E4" s="104">
        <v>1</v>
      </c>
      <c r="F4" s="104">
        <v>2</v>
      </c>
      <c r="G4" s="104" t="s">
        <v>384</v>
      </c>
      <c r="H4" s="104">
        <v>4</v>
      </c>
      <c r="I4" s="104">
        <v>5</v>
      </c>
      <c r="J4" s="104">
        <v>6</v>
      </c>
      <c r="K4" s="104">
        <v>7</v>
      </c>
      <c r="L4" s="104">
        <v>8</v>
      </c>
      <c r="M4" s="104" t="s">
        <v>384</v>
      </c>
      <c r="N4" s="104">
        <v>9</v>
      </c>
      <c r="O4" s="104">
        <v>10</v>
      </c>
      <c r="P4" s="104">
        <v>11</v>
      </c>
      <c r="Q4" s="104">
        <v>12</v>
      </c>
      <c r="R4" s="104">
        <v>13</v>
      </c>
      <c r="S4" s="104">
        <v>14</v>
      </c>
      <c r="T4" s="104" t="s">
        <v>384</v>
      </c>
      <c r="U4" s="104">
        <v>16</v>
      </c>
      <c r="V4" s="104">
        <v>17</v>
      </c>
      <c r="W4" s="104">
        <v>18</v>
      </c>
      <c r="X4" s="104">
        <v>19</v>
      </c>
      <c r="Y4" s="104">
        <v>20</v>
      </c>
      <c r="Z4" s="104">
        <v>21</v>
      </c>
      <c r="AA4" s="104" t="s">
        <v>384</v>
      </c>
      <c r="AB4" s="104">
        <v>23</v>
      </c>
      <c r="AC4" s="104">
        <v>24</v>
      </c>
      <c r="AD4" s="104">
        <v>25</v>
      </c>
      <c r="AE4" s="104">
        <v>26</v>
      </c>
      <c r="AF4" s="104">
        <v>27</v>
      </c>
      <c r="AG4" s="104">
        <v>28</v>
      </c>
      <c r="AH4" s="104">
        <v>29</v>
      </c>
      <c r="AI4" s="104">
        <v>30</v>
      </c>
      <c r="AJ4" s="1023"/>
      <c r="AK4" s="1023"/>
      <c r="AL4" s="1025"/>
      <c r="AM4" s="1022"/>
      <c r="AN4" s="1022"/>
      <c r="AO4" s="1022"/>
      <c r="AP4" s="1022"/>
    </row>
    <row r="5" spans="1:42" ht="30" customHeight="1" x14ac:dyDescent="0.25">
      <c r="A5" s="102"/>
      <c r="B5" s="102"/>
      <c r="C5" s="102"/>
      <c r="D5" s="103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855"/>
      <c r="AK5" s="855"/>
      <c r="AL5" s="855"/>
      <c r="AM5" s="854"/>
      <c r="AN5" s="854"/>
      <c r="AO5" s="854"/>
      <c r="AP5" s="854"/>
    </row>
    <row r="6" spans="1:42" s="696" customFormat="1" ht="20.25" customHeight="1" x14ac:dyDescent="0.25">
      <c r="A6" s="263">
        <v>1</v>
      </c>
      <c r="B6" s="703"/>
      <c r="C6" s="709" t="s">
        <v>734</v>
      </c>
      <c r="D6" s="703"/>
      <c r="E6" s="260"/>
      <c r="F6" s="260"/>
      <c r="G6" s="260"/>
      <c r="H6" s="253"/>
      <c r="I6" s="253"/>
      <c r="J6" s="253"/>
      <c r="K6" s="253"/>
      <c r="L6" s="253"/>
      <c r="M6" s="253"/>
      <c r="N6" s="253"/>
      <c r="O6" s="253"/>
      <c r="P6" s="253"/>
      <c r="Q6" s="253"/>
      <c r="R6" s="253"/>
      <c r="S6" s="253"/>
      <c r="T6" s="253"/>
      <c r="U6" s="253"/>
      <c r="V6" s="253"/>
      <c r="W6" s="253"/>
      <c r="X6" s="253"/>
      <c r="Y6" s="253"/>
      <c r="Z6" s="253"/>
      <c r="AA6" s="253"/>
      <c r="AB6" s="253"/>
      <c r="AC6" s="253"/>
      <c r="AD6" s="253"/>
      <c r="AE6" s="253"/>
      <c r="AF6" s="253"/>
      <c r="AG6" s="253"/>
      <c r="AH6" s="253"/>
      <c r="AI6" s="253"/>
    </row>
    <row r="7" spans="1:42" s="698" customFormat="1" ht="16.5" customHeight="1" x14ac:dyDescent="0.25">
      <c r="A7" s="663">
        <v>2</v>
      </c>
      <c r="B7" s="663" t="s">
        <v>118</v>
      </c>
      <c r="C7" s="663" t="s">
        <v>70</v>
      </c>
      <c r="D7" s="663" t="s">
        <v>822</v>
      </c>
      <c r="E7" s="529"/>
      <c r="F7" s="529"/>
      <c r="G7" s="529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  <c r="AA7" s="697"/>
      <c r="AB7" s="697"/>
      <c r="AC7" s="697"/>
      <c r="AD7" s="697"/>
      <c r="AE7" s="697"/>
      <c r="AF7" s="697"/>
      <c r="AG7" s="697"/>
      <c r="AH7" s="697"/>
      <c r="AI7" s="697"/>
      <c r="AJ7" s="112">
        <f>'BANG LUONG 1'!$N$2-CC!AJ6-CC!AK6-CC!AL6-CC!AM6</f>
        <v>-1</v>
      </c>
      <c r="AK7" s="811">
        <f>'BANG LUONG 1'!$N$2-CC!AJ6-CC!AK6-CC!AM6-1</f>
        <v>-2</v>
      </c>
      <c r="AL7" s="112">
        <f>COUNTIF(E7:AI7,"NB")</f>
        <v>0</v>
      </c>
      <c r="AM7" s="116">
        <f>IF(AJ7&gt;=1,100%,0)</f>
        <v>0</v>
      </c>
      <c r="AN7" s="116">
        <f>IF(AK7&lt;1,0,IF(AK7=1,50%,IF(AK7&lt;=2,75%,IF(AK7&gt;2,100%,0))))</f>
        <v>0</v>
      </c>
      <c r="AO7" s="116">
        <f>IF(AL7&lt;1,0,IF(AL7=1,25%,IF(AL7&lt;=2,50%,IF(AL7&lt;=3,75%,IF(AL7&gt;=4,100%,0)))))</f>
        <v>0</v>
      </c>
      <c r="AP7" s="115">
        <f>IF(SUM(AM7:AO7)&lt;=100%,SUM(AM7:AO7),100%)</f>
        <v>0</v>
      </c>
    </row>
    <row r="8" spans="1:42" s="696" customFormat="1" ht="16.5" customHeight="1" x14ac:dyDescent="0.25">
      <c r="A8" s="663">
        <v>5</v>
      </c>
      <c r="B8" s="663" t="s">
        <v>119</v>
      </c>
      <c r="C8" s="436" t="s">
        <v>91</v>
      </c>
      <c r="D8" s="436" t="s">
        <v>207</v>
      </c>
      <c r="E8" s="260"/>
      <c r="F8" s="260"/>
      <c r="G8" s="260"/>
      <c r="H8" s="713"/>
      <c r="I8" s="253"/>
      <c r="J8" s="253"/>
      <c r="K8" s="253"/>
      <c r="L8" s="253"/>
      <c r="M8" s="253"/>
      <c r="N8" s="253"/>
      <c r="O8" s="253"/>
      <c r="P8" s="253"/>
      <c r="Q8" s="253"/>
      <c r="R8" s="253"/>
      <c r="S8" s="253"/>
      <c r="T8" s="253"/>
      <c r="U8" s="253"/>
      <c r="V8" s="253"/>
      <c r="W8" s="253"/>
      <c r="X8" s="253"/>
      <c r="Y8" s="253"/>
      <c r="Z8" s="253"/>
      <c r="AA8" s="253"/>
      <c r="AB8" s="253"/>
      <c r="AC8" s="253"/>
      <c r="AD8" s="253"/>
      <c r="AE8" s="253"/>
      <c r="AF8" s="253"/>
      <c r="AG8" s="253"/>
      <c r="AH8" s="253"/>
      <c r="AI8" s="253"/>
      <c r="AJ8" s="112">
        <f>'BANG LUONG 1'!$N$2-CC!AJ7-CC!AK7-CC!AL7-CC!AM7</f>
        <v>0</v>
      </c>
      <c r="AK8" s="811">
        <f>'BANG LUONG 1'!$N$2-CC!AJ7-CC!AK7-CC!AM7-1</f>
        <v>-1</v>
      </c>
      <c r="AL8" s="112">
        <f t="shared" ref="AL8:AL52" si="0">COUNTIF(E8:AI8,"NB")</f>
        <v>0</v>
      </c>
      <c r="AM8" s="116">
        <f t="shared" ref="AM8:AM52" si="1">IF(AJ8&gt;=1,100%,0)</f>
        <v>0</v>
      </c>
      <c r="AN8" s="116">
        <f t="shared" ref="AN8:AN52" si="2">IF(AK8&lt;1,0,IF(AK8=1,50%,IF(AK8&lt;=2,75%,IF(AK8&gt;2,100%,0))))</f>
        <v>0</v>
      </c>
      <c r="AO8" s="116">
        <f t="shared" ref="AO8:AO52" si="3">IF(AL8&lt;1,0,IF(AL8=1,25%,IF(AL8&lt;=2,50%,IF(AL8&lt;=3,75%,IF(AL8&gt;=4,100%,0)))))</f>
        <v>0</v>
      </c>
      <c r="AP8" s="115">
        <f t="shared" ref="AP8:AP52" si="4">IF(SUM(AM8:AO8)&lt;=100%,SUM(AM8:AO8),100%)</f>
        <v>0</v>
      </c>
    </row>
    <row r="9" spans="1:42" s="696" customFormat="1" ht="16.5" customHeight="1" x14ac:dyDescent="0.25">
      <c r="A9" s="436">
        <v>7</v>
      </c>
      <c r="B9" s="436" t="s">
        <v>122</v>
      </c>
      <c r="C9" s="436" t="s">
        <v>783</v>
      </c>
      <c r="D9" s="436" t="s">
        <v>207</v>
      </c>
      <c r="E9" s="789"/>
      <c r="F9" s="529"/>
      <c r="G9" s="529"/>
      <c r="H9" s="253"/>
      <c r="I9" s="253"/>
      <c r="J9" s="253"/>
      <c r="K9" s="253"/>
      <c r="L9" s="253"/>
      <c r="M9" s="253"/>
      <c r="N9" s="253"/>
      <c r="O9" s="253"/>
      <c r="P9" s="253"/>
      <c r="Q9" s="253"/>
      <c r="R9" s="253"/>
      <c r="S9" s="253"/>
      <c r="T9" s="253"/>
      <c r="U9" s="253"/>
      <c r="V9" s="253"/>
      <c r="W9" s="253"/>
      <c r="X9" s="253"/>
      <c r="Y9" s="253"/>
      <c r="Z9" s="253"/>
      <c r="AA9" s="253"/>
      <c r="AB9" s="253"/>
      <c r="AC9" s="253"/>
      <c r="AD9" s="253"/>
      <c r="AE9" s="253"/>
      <c r="AF9" s="253"/>
      <c r="AG9" s="253"/>
      <c r="AH9" s="253"/>
      <c r="AI9" s="253"/>
      <c r="AJ9" s="112">
        <f>'BANG LUONG 1'!$N$2-CC!AJ8-CC!AK8-CC!AL8-CC!AM8</f>
        <v>26</v>
      </c>
      <c r="AK9" s="811">
        <f>'BANG LUONG 1'!$N$2-CC!AJ8-CC!AK8-CC!AM8-1</f>
        <v>25</v>
      </c>
      <c r="AL9" s="112">
        <f t="shared" si="0"/>
        <v>0</v>
      </c>
      <c r="AM9" s="116">
        <f t="shared" si="1"/>
        <v>1</v>
      </c>
      <c r="AN9" s="116">
        <f t="shared" si="2"/>
        <v>1</v>
      </c>
      <c r="AO9" s="116">
        <f t="shared" si="3"/>
        <v>0</v>
      </c>
      <c r="AP9" s="115">
        <f t="shared" si="4"/>
        <v>1</v>
      </c>
    </row>
    <row r="10" spans="1:42" s="696" customFormat="1" ht="17.25" customHeight="1" x14ac:dyDescent="0.25">
      <c r="A10" s="663">
        <v>9</v>
      </c>
      <c r="B10" s="663" t="s">
        <v>124</v>
      </c>
      <c r="C10" s="436" t="s">
        <v>369</v>
      </c>
      <c r="D10" s="436" t="s">
        <v>207</v>
      </c>
      <c r="E10" s="705"/>
      <c r="F10" s="705"/>
      <c r="G10" s="705"/>
      <c r="H10" s="703"/>
      <c r="I10" s="703"/>
      <c r="J10" s="703"/>
      <c r="K10" s="703"/>
      <c r="L10" s="703"/>
      <c r="M10" s="703"/>
      <c r="N10" s="703"/>
      <c r="O10" s="703"/>
      <c r="P10" s="703"/>
      <c r="Q10" s="703"/>
      <c r="R10" s="703"/>
      <c r="S10" s="703"/>
      <c r="T10" s="703"/>
      <c r="U10" s="703"/>
      <c r="V10" s="703"/>
      <c r="W10" s="703"/>
      <c r="X10" s="703"/>
      <c r="Y10" s="703"/>
      <c r="Z10" s="703"/>
      <c r="AA10" s="703"/>
      <c r="AB10" s="703"/>
      <c r="AC10" s="703"/>
      <c r="AD10" s="703"/>
      <c r="AE10" s="703"/>
      <c r="AF10" s="703"/>
      <c r="AG10" s="703"/>
      <c r="AH10" s="703"/>
      <c r="AI10" s="703"/>
      <c r="AJ10" s="112">
        <f>'BANG LUONG 1'!$N$2-CC!AJ9-CC!AK9-CC!AL9-CC!AM9</f>
        <v>-1</v>
      </c>
      <c r="AK10" s="811">
        <f>'BANG LUONG 1'!$N$2-CC!AJ9-CC!AK9-CC!AM9-1</f>
        <v>-1</v>
      </c>
      <c r="AL10" s="112">
        <f t="shared" si="0"/>
        <v>0</v>
      </c>
      <c r="AM10" s="116">
        <f t="shared" si="1"/>
        <v>0</v>
      </c>
      <c r="AN10" s="116">
        <f t="shared" si="2"/>
        <v>0</v>
      </c>
      <c r="AO10" s="116">
        <f t="shared" si="3"/>
        <v>0</v>
      </c>
      <c r="AP10" s="115">
        <f t="shared" si="4"/>
        <v>0</v>
      </c>
    </row>
    <row r="11" spans="1:42" s="696" customFormat="1" ht="16.5" customHeight="1" x14ac:dyDescent="0.25">
      <c r="A11" s="436">
        <v>10</v>
      </c>
      <c r="B11" s="436" t="s">
        <v>126</v>
      </c>
      <c r="C11" s="436" t="s">
        <v>717</v>
      </c>
      <c r="D11" s="436" t="s">
        <v>207</v>
      </c>
      <c r="E11" s="796"/>
      <c r="F11" s="796"/>
      <c r="G11" s="796"/>
      <c r="H11" s="714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3"/>
      <c r="U11" s="253"/>
      <c r="V11" s="253"/>
      <c r="W11" s="253"/>
      <c r="X11" s="253"/>
      <c r="Y11" s="253"/>
      <c r="Z11" s="253"/>
      <c r="AA11" s="253"/>
      <c r="AB11" s="253"/>
      <c r="AC11" s="253"/>
      <c r="AD11" s="253"/>
      <c r="AE11" s="253"/>
      <c r="AF11" s="253"/>
      <c r="AG11" s="253"/>
      <c r="AH11" s="253"/>
      <c r="AI11" s="253"/>
      <c r="AJ11" s="112">
        <f>'BANG LUONG 1'!$N$2-CC!AJ10-CC!AK10-CC!AL10-CC!AM10</f>
        <v>-1</v>
      </c>
      <c r="AK11" s="811">
        <f>'BANG LUONG 1'!$N$2-CC!AJ10-CC!AK10-CC!AM10-1</f>
        <v>-1</v>
      </c>
      <c r="AL11" s="112">
        <f t="shared" si="0"/>
        <v>0</v>
      </c>
      <c r="AM11" s="116">
        <f t="shared" si="1"/>
        <v>0</v>
      </c>
      <c r="AN11" s="116">
        <f t="shared" si="2"/>
        <v>0</v>
      </c>
      <c r="AO11" s="116">
        <f t="shared" si="3"/>
        <v>0</v>
      </c>
      <c r="AP11" s="115">
        <f t="shared" si="4"/>
        <v>0</v>
      </c>
    </row>
    <row r="12" spans="1:42" s="696" customFormat="1" x14ac:dyDescent="0.25">
      <c r="A12" s="663">
        <v>11</v>
      </c>
      <c r="B12" s="663" t="s">
        <v>127</v>
      </c>
      <c r="C12" s="436" t="s">
        <v>752</v>
      </c>
      <c r="D12" s="436" t="s">
        <v>207</v>
      </c>
      <c r="E12" s="796"/>
      <c r="F12" s="796"/>
      <c r="G12" s="796"/>
      <c r="H12" s="714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3"/>
      <c r="U12" s="253"/>
      <c r="V12" s="253"/>
      <c r="W12" s="253"/>
      <c r="X12" s="253"/>
      <c r="Y12" s="253"/>
      <c r="Z12" s="253"/>
      <c r="AA12" s="253"/>
      <c r="AB12" s="253"/>
      <c r="AC12" s="253"/>
      <c r="AD12" s="253"/>
      <c r="AE12" s="253"/>
      <c r="AF12" s="253"/>
      <c r="AG12" s="253"/>
      <c r="AH12" s="253"/>
      <c r="AI12" s="253"/>
      <c r="AJ12" s="112">
        <f>'BANG LUONG 1'!$N$2-CC!AJ11-CC!AK11-CC!AL11-CC!AM11</f>
        <v>-1</v>
      </c>
      <c r="AK12" s="811">
        <f>'BANG LUONG 1'!$N$2-CC!AJ11-CC!AK11-CC!AM11-1</f>
        <v>-1</v>
      </c>
      <c r="AL12" s="112">
        <f t="shared" si="0"/>
        <v>0</v>
      </c>
      <c r="AM12" s="116">
        <f t="shared" si="1"/>
        <v>0</v>
      </c>
      <c r="AN12" s="116">
        <f t="shared" si="2"/>
        <v>0</v>
      </c>
      <c r="AO12" s="116">
        <f t="shared" si="3"/>
        <v>0</v>
      </c>
      <c r="AP12" s="115">
        <f t="shared" si="4"/>
        <v>0</v>
      </c>
    </row>
    <row r="13" spans="1:42" s="696" customFormat="1" x14ac:dyDescent="0.25">
      <c r="A13" s="436">
        <v>12</v>
      </c>
      <c r="B13" s="436" t="s">
        <v>128</v>
      </c>
      <c r="C13" s="436" t="s">
        <v>742</v>
      </c>
      <c r="D13" s="436" t="s">
        <v>207</v>
      </c>
      <c r="E13" s="787"/>
      <c r="F13" s="787"/>
      <c r="G13" s="787"/>
      <c r="H13" s="715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3"/>
      <c r="U13" s="253"/>
      <c r="V13" s="253"/>
      <c r="W13" s="253"/>
      <c r="X13" s="253"/>
      <c r="Y13" s="253"/>
      <c r="Z13" s="253"/>
      <c r="AA13" s="253"/>
      <c r="AB13" s="253"/>
      <c r="AC13" s="253"/>
      <c r="AD13" s="253"/>
      <c r="AE13" s="253"/>
      <c r="AF13" s="253"/>
      <c r="AG13" s="253"/>
      <c r="AH13" s="253"/>
      <c r="AI13" s="253"/>
      <c r="AJ13" s="112">
        <f>'BANG LUONG 1'!$N$2-CC!AJ12-CC!AK12-CC!AL12-CC!AM12</f>
        <v>-0.5</v>
      </c>
      <c r="AK13" s="811">
        <f>'BANG LUONG 1'!$N$2-CC!AJ12-CC!AK12-CC!AM12-1</f>
        <v>-0.5</v>
      </c>
      <c r="AL13" s="112">
        <f t="shared" si="0"/>
        <v>0</v>
      </c>
      <c r="AM13" s="116">
        <f t="shared" si="1"/>
        <v>0</v>
      </c>
      <c r="AN13" s="116">
        <f t="shared" si="2"/>
        <v>0</v>
      </c>
      <c r="AO13" s="116">
        <f t="shared" si="3"/>
        <v>0</v>
      </c>
      <c r="AP13" s="115">
        <f t="shared" si="4"/>
        <v>0</v>
      </c>
    </row>
    <row r="14" spans="1:42" s="696" customFormat="1" x14ac:dyDescent="0.25">
      <c r="A14" s="436"/>
      <c r="B14" s="436" t="s">
        <v>129</v>
      </c>
      <c r="C14" s="436" t="s">
        <v>599</v>
      </c>
      <c r="D14" s="436" t="s">
        <v>207</v>
      </c>
      <c r="E14" s="787"/>
      <c r="F14" s="787"/>
      <c r="G14" s="787"/>
      <c r="H14" s="715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3"/>
      <c r="U14" s="253"/>
      <c r="V14" s="253"/>
      <c r="W14" s="253"/>
      <c r="X14" s="253"/>
      <c r="Y14" s="253"/>
      <c r="Z14" s="253"/>
      <c r="AA14" s="253"/>
      <c r="AB14" s="253"/>
      <c r="AC14" s="253"/>
      <c r="AD14" s="253"/>
      <c r="AE14" s="253"/>
      <c r="AF14" s="253"/>
      <c r="AG14" s="253"/>
      <c r="AH14" s="253"/>
      <c r="AI14" s="253"/>
      <c r="AJ14" s="112">
        <f>'BANG LUONG 1'!$N$2-CC!AJ13-CC!AK13-CC!AL13-CC!AM13</f>
        <v>-1</v>
      </c>
      <c r="AK14" s="811">
        <f>'BANG LUONG 1'!$N$2-CC!AJ13-CC!AK13-CC!AM13-1</f>
        <v>-2</v>
      </c>
      <c r="AL14" s="112">
        <f t="shared" si="0"/>
        <v>0</v>
      </c>
      <c r="AM14" s="116">
        <f t="shared" si="1"/>
        <v>0</v>
      </c>
      <c r="AN14" s="116">
        <f t="shared" si="2"/>
        <v>0</v>
      </c>
      <c r="AO14" s="116">
        <f t="shared" si="3"/>
        <v>0</v>
      </c>
      <c r="AP14" s="115">
        <f t="shared" si="4"/>
        <v>0</v>
      </c>
    </row>
    <row r="15" spans="1:42" s="696" customFormat="1" x14ac:dyDescent="0.25">
      <c r="A15" s="436"/>
      <c r="B15" s="436" t="s">
        <v>163</v>
      </c>
      <c r="C15" s="436" t="s">
        <v>886</v>
      </c>
      <c r="D15" s="436" t="s">
        <v>207</v>
      </c>
      <c r="E15" s="787"/>
      <c r="F15" s="787"/>
      <c r="G15" s="787"/>
      <c r="H15" s="715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3"/>
      <c r="U15" s="253"/>
      <c r="V15" s="253"/>
      <c r="W15" s="253"/>
      <c r="X15" s="253"/>
      <c r="Y15" s="253"/>
      <c r="Z15" s="253"/>
      <c r="AA15" s="253"/>
      <c r="AB15" s="253"/>
      <c r="AC15" s="253"/>
      <c r="AD15" s="253"/>
      <c r="AE15" s="253"/>
      <c r="AF15" s="253"/>
      <c r="AG15" s="253"/>
      <c r="AH15" s="253"/>
      <c r="AI15" s="253"/>
      <c r="AJ15" s="112">
        <f>'BANG LUONG 1'!$N$2-CC!AJ14-CC!AK14-CC!AL14-CC!AM14</f>
        <v>-1</v>
      </c>
      <c r="AK15" s="811">
        <f>'BANG LUONG 1'!$N$2-CC!AJ14-CC!AK14-CC!AM14-1</f>
        <v>-2</v>
      </c>
      <c r="AL15" s="112">
        <f t="shared" si="0"/>
        <v>0</v>
      </c>
      <c r="AM15" s="116">
        <f t="shared" si="1"/>
        <v>0</v>
      </c>
      <c r="AN15" s="116">
        <f t="shared" si="2"/>
        <v>0</v>
      </c>
      <c r="AO15" s="116">
        <f t="shared" si="3"/>
        <v>0</v>
      </c>
      <c r="AP15" s="115">
        <f t="shared" si="4"/>
        <v>0</v>
      </c>
    </row>
    <row r="16" spans="1:42" s="696" customFormat="1" x14ac:dyDescent="0.25">
      <c r="A16" s="856"/>
      <c r="B16" s="856" t="s">
        <v>164</v>
      </c>
      <c r="C16" s="856" t="s">
        <v>887</v>
      </c>
      <c r="D16" s="856" t="s">
        <v>207</v>
      </c>
      <c r="E16" s="807"/>
      <c r="F16" s="807"/>
      <c r="G16" s="807"/>
      <c r="H16" s="809"/>
      <c r="I16" s="810"/>
      <c r="J16" s="810"/>
      <c r="K16" s="810"/>
      <c r="L16" s="810"/>
      <c r="M16" s="810"/>
      <c r="N16" s="810"/>
      <c r="O16" s="810"/>
      <c r="P16" s="810"/>
      <c r="Q16" s="810"/>
      <c r="R16" s="810"/>
      <c r="S16" s="810"/>
      <c r="T16" s="810"/>
      <c r="U16" s="810"/>
      <c r="V16" s="810"/>
      <c r="W16" s="810"/>
      <c r="X16" s="810"/>
      <c r="Y16" s="810"/>
      <c r="Z16" s="810"/>
      <c r="AA16" s="810"/>
      <c r="AB16" s="810"/>
      <c r="AC16" s="810"/>
      <c r="AD16" s="810"/>
      <c r="AE16" s="810"/>
      <c r="AF16" s="810"/>
      <c r="AG16" s="810"/>
      <c r="AH16" s="810"/>
      <c r="AI16" s="810"/>
      <c r="AJ16" s="112">
        <f>'BANG LUONG 1'!$N$2-CC!AJ15-CC!AK15-CC!AL15-CC!AM15</f>
        <v>26</v>
      </c>
      <c r="AK16" s="811">
        <f>'BANG LUONG 1'!$N$2-CC!AJ15-CC!AK15-CC!AM15-1</f>
        <v>25</v>
      </c>
      <c r="AL16" s="112">
        <f t="shared" si="0"/>
        <v>0</v>
      </c>
      <c r="AM16" s="116">
        <f t="shared" si="1"/>
        <v>1</v>
      </c>
      <c r="AN16" s="116">
        <f t="shared" si="2"/>
        <v>1</v>
      </c>
      <c r="AO16" s="116">
        <f t="shared" si="3"/>
        <v>0</v>
      </c>
      <c r="AP16" s="115">
        <f t="shared" si="4"/>
        <v>1</v>
      </c>
    </row>
    <row r="17" spans="1:42" s="696" customFormat="1" ht="16.5" customHeight="1" x14ac:dyDescent="0.25">
      <c r="A17" s="425">
        <v>13</v>
      </c>
      <c r="B17" s="425"/>
      <c r="C17" s="425" t="s">
        <v>735</v>
      </c>
      <c r="D17" s="425"/>
      <c r="E17" s="796"/>
      <c r="F17" s="796"/>
      <c r="G17" s="796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3"/>
      <c r="U17" s="253"/>
      <c r="V17" s="253"/>
      <c r="W17" s="253"/>
      <c r="X17" s="253"/>
      <c r="Y17" s="253"/>
      <c r="Z17" s="253"/>
      <c r="AA17" s="253"/>
      <c r="AB17" s="253"/>
      <c r="AC17" s="253"/>
      <c r="AD17" s="253"/>
      <c r="AE17" s="253"/>
      <c r="AF17" s="253"/>
      <c r="AG17" s="253"/>
      <c r="AH17" s="253"/>
      <c r="AI17" s="810"/>
      <c r="AJ17" s="810"/>
      <c r="AK17" s="810"/>
      <c r="AL17" s="810"/>
      <c r="AM17" s="810"/>
      <c r="AN17" s="810"/>
      <c r="AO17" s="810"/>
      <c r="AP17" s="810"/>
    </row>
    <row r="18" spans="1:42" s="696" customFormat="1" ht="16.5" customHeight="1" x14ac:dyDescent="0.25">
      <c r="A18" s="436">
        <v>14</v>
      </c>
      <c r="B18" s="436" t="s">
        <v>130</v>
      </c>
      <c r="C18" s="436" t="s">
        <v>736</v>
      </c>
      <c r="D18" s="436" t="s">
        <v>206</v>
      </c>
      <c r="E18" s="787"/>
      <c r="F18" s="787"/>
      <c r="G18" s="787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112">
        <f>'BANG LUONG 1'!$N$2-CC!AJ19-CC!AK19-CC!AL19-CC!AM19</f>
        <v>-4.8500000000000121</v>
      </c>
      <c r="AK18" s="811">
        <f>'BANG LUONG 1'!$N$2-CC!AJ19-CC!AK19-CC!AM19-1</f>
        <v>-5.8500000000000121</v>
      </c>
      <c r="AL18" s="112">
        <f t="shared" si="0"/>
        <v>0</v>
      </c>
      <c r="AM18" s="116">
        <f t="shared" si="1"/>
        <v>0</v>
      </c>
      <c r="AN18" s="116">
        <f t="shared" si="2"/>
        <v>0</v>
      </c>
      <c r="AO18" s="116">
        <f t="shared" si="3"/>
        <v>0</v>
      </c>
      <c r="AP18" s="115">
        <f t="shared" si="4"/>
        <v>0</v>
      </c>
    </row>
    <row r="19" spans="1:42" s="696" customFormat="1" ht="16.5" customHeight="1" x14ac:dyDescent="0.25">
      <c r="A19" s="436">
        <v>15</v>
      </c>
      <c r="B19" s="436" t="s">
        <v>131</v>
      </c>
      <c r="C19" s="436" t="s">
        <v>87</v>
      </c>
      <c r="D19" s="436" t="s">
        <v>206</v>
      </c>
      <c r="E19" s="796"/>
      <c r="F19" s="796"/>
      <c r="G19" s="796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3"/>
      <c r="U19" s="253"/>
      <c r="V19" s="253"/>
      <c r="W19" s="253"/>
      <c r="X19" s="253"/>
      <c r="Y19" s="253"/>
      <c r="Z19" s="253"/>
      <c r="AA19" s="253"/>
      <c r="AB19" s="253"/>
      <c r="AC19" s="253"/>
      <c r="AD19" s="253"/>
      <c r="AE19" s="253"/>
      <c r="AF19" s="253"/>
      <c r="AG19" s="253"/>
      <c r="AH19" s="253"/>
      <c r="AI19" s="253"/>
      <c r="AJ19" s="112">
        <f>'BANG LUONG 1'!$N$2-CC!AJ20-CC!AK20-CC!AL20-CC!AM20</f>
        <v>-1</v>
      </c>
      <c r="AK19" s="811">
        <f>'BANG LUONG 1'!$N$2-CC!AJ20-CC!AK20-CC!AM20-1</f>
        <v>2</v>
      </c>
      <c r="AL19" s="112">
        <f t="shared" si="0"/>
        <v>0</v>
      </c>
      <c r="AM19" s="116">
        <f t="shared" si="1"/>
        <v>0</v>
      </c>
      <c r="AN19" s="116">
        <f t="shared" si="2"/>
        <v>0.75</v>
      </c>
      <c r="AO19" s="116">
        <f t="shared" si="3"/>
        <v>0</v>
      </c>
      <c r="AP19" s="115">
        <f t="shared" si="4"/>
        <v>0.75</v>
      </c>
    </row>
    <row r="20" spans="1:42" s="696" customFormat="1" ht="16.5" customHeight="1" x14ac:dyDescent="0.25">
      <c r="A20" s="436">
        <v>16</v>
      </c>
      <c r="B20" s="436" t="s">
        <v>132</v>
      </c>
      <c r="C20" s="436" t="s">
        <v>88</v>
      </c>
      <c r="D20" s="436" t="s">
        <v>206</v>
      </c>
      <c r="E20" s="796"/>
      <c r="F20" s="796"/>
      <c r="G20" s="796"/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3"/>
      <c r="U20" s="253"/>
      <c r="V20" s="253"/>
      <c r="W20" s="253"/>
      <c r="X20" s="253"/>
      <c r="Y20" s="253"/>
      <c r="Z20" s="253"/>
      <c r="AA20" s="253"/>
      <c r="AB20" s="253"/>
      <c r="AC20" s="253"/>
      <c r="AD20" s="253"/>
      <c r="AE20" s="253"/>
      <c r="AF20" s="253"/>
      <c r="AG20" s="253"/>
      <c r="AH20" s="253"/>
      <c r="AI20" s="253"/>
      <c r="AJ20" s="112">
        <f>'BANG LUONG 1'!$N$2-CC!AJ21-CC!AK21-CC!AL21-CC!AM21</f>
        <v>-1</v>
      </c>
      <c r="AK20" s="811">
        <f>'BANG LUONG 1'!$N$2-CC!AJ21-CC!AK21-CC!AM21-1</f>
        <v>0</v>
      </c>
      <c r="AL20" s="112">
        <f t="shared" si="0"/>
        <v>0</v>
      </c>
      <c r="AM20" s="116">
        <f t="shared" si="1"/>
        <v>0</v>
      </c>
      <c r="AN20" s="116">
        <f t="shared" si="2"/>
        <v>0</v>
      </c>
      <c r="AO20" s="116">
        <f t="shared" si="3"/>
        <v>0</v>
      </c>
      <c r="AP20" s="115">
        <f t="shared" si="4"/>
        <v>0</v>
      </c>
    </row>
    <row r="21" spans="1:42" s="696" customFormat="1" ht="16.5" customHeight="1" x14ac:dyDescent="0.25">
      <c r="A21" s="436">
        <v>18</v>
      </c>
      <c r="B21" s="436" t="s">
        <v>133</v>
      </c>
      <c r="C21" s="436" t="s">
        <v>71</v>
      </c>
      <c r="D21" s="436" t="s">
        <v>206</v>
      </c>
      <c r="E21" s="787"/>
      <c r="F21" s="796"/>
      <c r="G21" s="796"/>
      <c r="H21" s="253"/>
      <c r="I21" s="253"/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3"/>
      <c r="U21" s="253"/>
      <c r="V21" s="253"/>
      <c r="W21" s="253"/>
      <c r="X21" s="253"/>
      <c r="Y21" s="253"/>
      <c r="Z21" s="253"/>
      <c r="AA21" s="253"/>
      <c r="AB21" s="253"/>
      <c r="AC21" s="253"/>
      <c r="AD21" s="253"/>
      <c r="AE21" s="253"/>
      <c r="AF21" s="253"/>
      <c r="AG21" s="253"/>
      <c r="AH21" s="253"/>
      <c r="AI21" s="253"/>
      <c r="AJ21" s="112">
        <f>'BANG LUONG 1'!$N$2-CC!AJ22-CC!AK22-CC!AL22-CC!AM22</f>
        <v>-1</v>
      </c>
      <c r="AK21" s="811">
        <f>'BANG LUONG 1'!$N$2-CC!AJ22-CC!AK22-CC!AM22-1</f>
        <v>-2</v>
      </c>
      <c r="AL21" s="112">
        <f t="shared" si="0"/>
        <v>0</v>
      </c>
      <c r="AM21" s="116">
        <f t="shared" si="1"/>
        <v>0</v>
      </c>
      <c r="AN21" s="116">
        <f t="shared" si="2"/>
        <v>0</v>
      </c>
      <c r="AO21" s="116">
        <f t="shared" si="3"/>
        <v>0</v>
      </c>
      <c r="AP21" s="115">
        <f t="shared" si="4"/>
        <v>0</v>
      </c>
    </row>
    <row r="22" spans="1:42" s="696" customFormat="1" ht="16.5" customHeight="1" x14ac:dyDescent="0.25">
      <c r="A22" s="436">
        <v>19</v>
      </c>
      <c r="B22" s="436" t="s">
        <v>135</v>
      </c>
      <c r="C22" s="436" t="s">
        <v>571</v>
      </c>
      <c r="D22" s="436" t="s">
        <v>206</v>
      </c>
      <c r="E22" s="787"/>
      <c r="F22" s="794"/>
      <c r="G22" s="794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3"/>
      <c r="U22" s="253"/>
      <c r="V22" s="253"/>
      <c r="W22" s="253"/>
      <c r="X22" s="253"/>
      <c r="Y22" s="253"/>
      <c r="Z22" s="253"/>
      <c r="AA22" s="253"/>
      <c r="AB22" s="253"/>
      <c r="AC22" s="253"/>
      <c r="AD22" s="253"/>
      <c r="AE22" s="253"/>
      <c r="AF22" s="253"/>
      <c r="AG22" s="253"/>
      <c r="AH22" s="253"/>
      <c r="AI22" s="253"/>
      <c r="AJ22" s="112">
        <f>'BANG LUONG 1'!$N$2-CC!AJ23-CC!AK23-CC!AL23-CC!AM23</f>
        <v>-1</v>
      </c>
      <c r="AK22" s="811">
        <f>'BANG LUONG 1'!$N$2-CC!AJ23-CC!AK23-CC!AM23-1</f>
        <v>-2</v>
      </c>
      <c r="AL22" s="112">
        <f t="shared" si="0"/>
        <v>0</v>
      </c>
      <c r="AM22" s="116">
        <f t="shared" si="1"/>
        <v>0</v>
      </c>
      <c r="AN22" s="116">
        <f t="shared" si="2"/>
        <v>0</v>
      </c>
      <c r="AO22" s="116">
        <f t="shared" si="3"/>
        <v>0</v>
      </c>
      <c r="AP22" s="115">
        <f t="shared" si="4"/>
        <v>0</v>
      </c>
    </row>
    <row r="23" spans="1:42" s="700" customFormat="1" x14ac:dyDescent="0.25">
      <c r="A23" s="436">
        <v>20</v>
      </c>
      <c r="B23" s="436" t="s">
        <v>136</v>
      </c>
      <c r="C23" s="436" t="s">
        <v>75</v>
      </c>
      <c r="D23" s="436" t="s">
        <v>206</v>
      </c>
      <c r="E23" s="787"/>
      <c r="F23" s="794"/>
      <c r="G23" s="794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  <c r="AA23" s="699"/>
      <c r="AB23" s="699"/>
      <c r="AC23" s="699"/>
      <c r="AD23" s="699"/>
      <c r="AE23" s="699"/>
      <c r="AF23" s="699"/>
      <c r="AG23" s="699"/>
      <c r="AH23" s="699"/>
      <c r="AI23" s="699"/>
      <c r="AJ23" s="112">
        <f>'BANG LUONG 1'!$N$2-CC!AJ24-CC!AK24-CC!AL24-CC!AM24</f>
        <v>-1</v>
      </c>
      <c r="AK23" s="811">
        <f>'BANG LUONG 1'!$N$2-CC!AJ24-CC!AK24-CC!AM24-1</f>
        <v>19</v>
      </c>
      <c r="AL23" s="112">
        <f t="shared" si="0"/>
        <v>0</v>
      </c>
      <c r="AM23" s="116">
        <f t="shared" si="1"/>
        <v>0</v>
      </c>
      <c r="AN23" s="116">
        <f t="shared" si="2"/>
        <v>1</v>
      </c>
      <c r="AO23" s="116">
        <f t="shared" si="3"/>
        <v>0</v>
      </c>
      <c r="AP23" s="115">
        <f t="shared" si="4"/>
        <v>1</v>
      </c>
    </row>
    <row r="24" spans="1:42" s="696" customFormat="1" ht="16.5" customHeight="1" x14ac:dyDescent="0.25">
      <c r="A24" s="436">
        <v>21</v>
      </c>
      <c r="B24" s="436" t="s">
        <v>137</v>
      </c>
      <c r="C24" s="436" t="s">
        <v>77</v>
      </c>
      <c r="D24" s="436" t="s">
        <v>206</v>
      </c>
      <c r="E24" s="794"/>
      <c r="F24" s="794"/>
      <c r="G24" s="794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3"/>
      <c r="U24" s="253"/>
      <c r="V24" s="253"/>
      <c r="W24" s="253"/>
      <c r="X24" s="253"/>
      <c r="Y24" s="253"/>
      <c r="Z24" s="253"/>
      <c r="AA24" s="253"/>
      <c r="AB24" s="253"/>
      <c r="AC24" s="253"/>
      <c r="AD24" s="253"/>
      <c r="AE24" s="253"/>
      <c r="AF24" s="253"/>
      <c r="AG24" s="253"/>
      <c r="AH24" s="253"/>
      <c r="AI24" s="253"/>
      <c r="AJ24" s="112">
        <f>'BANG LUONG 1'!$N$2-CC!AJ25-CC!AK25-CC!AL25-CC!AM25</f>
        <v>0</v>
      </c>
      <c r="AK24" s="811">
        <f>'BANG LUONG 1'!$N$2-CC!AJ25-CC!AK25-CC!AM25-1</f>
        <v>-1</v>
      </c>
      <c r="AL24" s="112">
        <f t="shared" si="0"/>
        <v>0</v>
      </c>
      <c r="AM24" s="116">
        <f t="shared" si="1"/>
        <v>0</v>
      </c>
      <c r="AN24" s="116">
        <f t="shared" si="2"/>
        <v>0</v>
      </c>
      <c r="AO24" s="116">
        <f t="shared" si="3"/>
        <v>0</v>
      </c>
      <c r="AP24" s="115">
        <f t="shared" si="4"/>
        <v>0</v>
      </c>
    </row>
    <row r="25" spans="1:42" s="696" customFormat="1" ht="16.5" customHeight="1" x14ac:dyDescent="0.25">
      <c r="A25" s="436">
        <v>22</v>
      </c>
      <c r="B25" s="436" t="s">
        <v>138</v>
      </c>
      <c r="C25" s="436" t="s">
        <v>93</v>
      </c>
      <c r="D25" s="436" t="s">
        <v>206</v>
      </c>
      <c r="E25" s="796"/>
      <c r="F25" s="796"/>
      <c r="G25" s="796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3"/>
      <c r="U25" s="253"/>
      <c r="V25" s="253"/>
      <c r="W25" s="253"/>
      <c r="X25" s="253"/>
      <c r="Y25" s="253"/>
      <c r="Z25" s="253"/>
      <c r="AA25" s="253"/>
      <c r="AB25" s="253"/>
      <c r="AC25" s="253"/>
      <c r="AD25" s="253"/>
      <c r="AE25" s="253"/>
      <c r="AF25" s="253"/>
      <c r="AG25" s="253"/>
      <c r="AH25" s="253"/>
      <c r="AI25" s="253"/>
      <c r="AJ25" s="112">
        <f>'BANG LUONG 1'!$N$2-CC!AJ26-CC!AK26-CC!AL26-CC!AM26</f>
        <v>-1</v>
      </c>
      <c r="AK25" s="811">
        <f>'BANG LUONG 1'!$N$2-CC!AJ26-CC!AK26-CC!AM26-1</f>
        <v>-2</v>
      </c>
      <c r="AL25" s="112">
        <f t="shared" si="0"/>
        <v>0</v>
      </c>
      <c r="AM25" s="116">
        <f t="shared" si="1"/>
        <v>0</v>
      </c>
      <c r="AN25" s="116">
        <f t="shared" si="2"/>
        <v>0</v>
      </c>
      <c r="AO25" s="116">
        <f t="shared" si="3"/>
        <v>0</v>
      </c>
      <c r="AP25" s="115">
        <f t="shared" si="4"/>
        <v>0</v>
      </c>
    </row>
    <row r="26" spans="1:42" s="54" customFormat="1" x14ac:dyDescent="0.25">
      <c r="A26" s="436">
        <v>23</v>
      </c>
      <c r="B26" s="436" t="s">
        <v>139</v>
      </c>
      <c r="C26" s="436" t="s">
        <v>74</v>
      </c>
      <c r="D26" s="436" t="s">
        <v>206</v>
      </c>
      <c r="E26" s="794"/>
      <c r="F26" s="794"/>
      <c r="G26" s="794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670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112">
        <f>'BANG LUONG 1'!$N$2-CC!AJ27-CC!AK27-CC!AL27-CC!AM27</f>
        <v>-1</v>
      </c>
      <c r="AK26" s="811">
        <f>'BANG LUONG 1'!$N$2-CC!AJ27-CC!AK27-CC!AM27-1</f>
        <v>-2</v>
      </c>
      <c r="AL26" s="112">
        <f t="shared" si="0"/>
        <v>0</v>
      </c>
      <c r="AM26" s="116">
        <f t="shared" si="1"/>
        <v>0</v>
      </c>
      <c r="AN26" s="116">
        <f t="shared" si="2"/>
        <v>0</v>
      </c>
      <c r="AO26" s="116">
        <f t="shared" si="3"/>
        <v>0</v>
      </c>
      <c r="AP26" s="115">
        <f t="shared" si="4"/>
        <v>0</v>
      </c>
    </row>
    <row r="27" spans="1:42" s="696" customFormat="1" ht="16.5" customHeight="1" x14ac:dyDescent="0.25">
      <c r="A27" s="436">
        <v>24</v>
      </c>
      <c r="B27" s="436" t="s">
        <v>140</v>
      </c>
      <c r="C27" s="436" t="s">
        <v>80</v>
      </c>
      <c r="D27" s="436" t="s">
        <v>207</v>
      </c>
      <c r="E27" s="794"/>
      <c r="F27" s="794"/>
      <c r="G27" s="794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3"/>
      <c r="U27" s="253"/>
      <c r="V27" s="253"/>
      <c r="W27" s="253"/>
      <c r="X27" s="253"/>
      <c r="Y27" s="253"/>
      <c r="Z27" s="253"/>
      <c r="AA27" s="253"/>
      <c r="AB27" s="253"/>
      <c r="AC27" s="253"/>
      <c r="AD27" s="253"/>
      <c r="AE27" s="253"/>
      <c r="AF27" s="253"/>
      <c r="AG27" s="253"/>
      <c r="AH27" s="253"/>
      <c r="AI27" s="253"/>
      <c r="AJ27" s="112">
        <f>'BANG LUONG 1'!$N$2-CC!AJ28-CC!AK28-CC!AL28-CC!AM28</f>
        <v>-1</v>
      </c>
      <c r="AK27" s="811">
        <f>'BANG LUONG 1'!$N$2-CC!AJ28-CC!AK28-CC!AM28-1</f>
        <v>-2</v>
      </c>
      <c r="AL27" s="112">
        <f t="shared" si="0"/>
        <v>0</v>
      </c>
      <c r="AM27" s="116">
        <f t="shared" si="1"/>
        <v>0</v>
      </c>
      <c r="AN27" s="116">
        <f t="shared" si="2"/>
        <v>0</v>
      </c>
      <c r="AO27" s="116">
        <f t="shared" si="3"/>
        <v>0</v>
      </c>
      <c r="AP27" s="115">
        <f t="shared" si="4"/>
        <v>0</v>
      </c>
    </row>
    <row r="28" spans="1:42" s="696" customFormat="1" ht="16.5" customHeight="1" x14ac:dyDescent="0.25">
      <c r="A28" s="436">
        <v>25</v>
      </c>
      <c r="B28" s="436" t="s">
        <v>141</v>
      </c>
      <c r="C28" s="436" t="s">
        <v>762</v>
      </c>
      <c r="D28" s="436" t="s">
        <v>718</v>
      </c>
      <c r="E28" s="794"/>
      <c r="F28" s="794"/>
      <c r="G28" s="794"/>
      <c r="H28" s="253"/>
      <c r="I28" s="253"/>
      <c r="J28" s="253"/>
      <c r="K28" s="253"/>
      <c r="L28" s="253"/>
      <c r="M28" s="253"/>
      <c r="N28" s="253"/>
      <c r="O28" s="253"/>
      <c r="P28" s="253"/>
      <c r="Q28" s="253"/>
      <c r="R28" s="253"/>
      <c r="S28" s="253"/>
      <c r="T28" s="253"/>
      <c r="U28" s="253"/>
      <c r="V28" s="253"/>
      <c r="W28" s="253"/>
      <c r="X28" s="253"/>
      <c r="Y28" s="253"/>
      <c r="Z28" s="253"/>
      <c r="AA28" s="253"/>
      <c r="AB28" s="253"/>
      <c r="AC28" s="253"/>
      <c r="AD28" s="253"/>
      <c r="AE28" s="253"/>
      <c r="AF28" s="253"/>
      <c r="AG28" s="253"/>
      <c r="AH28" s="253"/>
      <c r="AI28" s="253"/>
      <c r="AJ28" s="112">
        <f>'BANG LUONG 1'!$N$2-CC!AJ29-CC!AK29-CC!AL29-CC!AM29</f>
        <v>-1</v>
      </c>
      <c r="AK28" s="811">
        <f>'BANG LUONG 1'!$N$2-CC!AJ29-CC!AK29-CC!AM29-1</f>
        <v>24</v>
      </c>
      <c r="AL28" s="112">
        <f t="shared" si="0"/>
        <v>0</v>
      </c>
      <c r="AM28" s="116">
        <f t="shared" si="1"/>
        <v>0</v>
      </c>
      <c r="AN28" s="116">
        <f t="shared" si="2"/>
        <v>1</v>
      </c>
      <c r="AO28" s="116">
        <f t="shared" si="3"/>
        <v>0</v>
      </c>
      <c r="AP28" s="115">
        <f t="shared" si="4"/>
        <v>1</v>
      </c>
    </row>
    <row r="29" spans="1:42" s="54" customFormat="1" x14ac:dyDescent="0.25">
      <c r="A29" s="436">
        <v>26</v>
      </c>
      <c r="B29" s="436" t="s">
        <v>142</v>
      </c>
      <c r="C29" s="436" t="s">
        <v>787</v>
      </c>
      <c r="D29" s="436" t="s">
        <v>206</v>
      </c>
      <c r="E29" s="796"/>
      <c r="F29" s="796"/>
      <c r="G29" s="796"/>
      <c r="H29" s="670"/>
      <c r="I29" s="670"/>
      <c r="J29" s="670"/>
      <c r="K29" s="670"/>
      <c r="L29" s="670"/>
      <c r="M29" s="670"/>
      <c r="N29" s="670"/>
      <c r="O29" s="670"/>
      <c r="P29" s="670"/>
      <c r="Q29" s="670"/>
      <c r="R29" s="670"/>
      <c r="S29" s="670"/>
      <c r="T29" s="670"/>
      <c r="U29" s="670"/>
      <c r="V29" s="670"/>
      <c r="W29" s="670"/>
      <c r="X29" s="670"/>
      <c r="Y29" s="670"/>
      <c r="Z29" s="670"/>
      <c r="AA29" s="670"/>
      <c r="AB29" s="670"/>
      <c r="AC29" s="670"/>
      <c r="AD29" s="670"/>
      <c r="AE29" s="670"/>
      <c r="AF29" s="670"/>
      <c r="AG29" s="670"/>
      <c r="AH29" s="670"/>
      <c r="AI29" s="670"/>
      <c r="AJ29" s="112">
        <f>'BANG LUONG 1'!$N$2-CC!AJ30-CC!AK30-CC!AL30-CC!AM30</f>
        <v>-1</v>
      </c>
      <c r="AK29" s="811">
        <f>'BANG LUONG 1'!$N$2-CC!AJ30-CC!AK30-CC!AM30-1</f>
        <v>-2</v>
      </c>
      <c r="AL29" s="112">
        <f t="shared" si="0"/>
        <v>0</v>
      </c>
      <c r="AM29" s="116">
        <f t="shared" si="1"/>
        <v>0</v>
      </c>
      <c r="AN29" s="116">
        <f t="shared" si="2"/>
        <v>0</v>
      </c>
      <c r="AO29" s="116">
        <f t="shared" si="3"/>
        <v>0</v>
      </c>
      <c r="AP29" s="115">
        <f t="shared" si="4"/>
        <v>0</v>
      </c>
    </row>
    <row r="30" spans="1:42" s="700" customFormat="1" x14ac:dyDescent="0.25">
      <c r="A30" s="436">
        <v>27</v>
      </c>
      <c r="B30" s="436" t="s">
        <v>143</v>
      </c>
      <c r="C30" s="436" t="s">
        <v>788</v>
      </c>
      <c r="D30" s="436" t="s">
        <v>206</v>
      </c>
      <c r="E30" s="794"/>
      <c r="F30" s="794"/>
      <c r="G30" s="794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  <c r="AA30" s="699"/>
      <c r="AB30" s="699"/>
      <c r="AC30" s="699"/>
      <c r="AD30" s="699"/>
      <c r="AE30" s="699"/>
      <c r="AF30" s="699"/>
      <c r="AG30" s="699"/>
      <c r="AH30" s="699"/>
      <c r="AI30" s="699"/>
      <c r="AJ30" s="112">
        <f>'BANG LUONG 1'!$N$2-CC!AJ31-CC!AK31-CC!AL31-CC!AM31</f>
        <v>-1</v>
      </c>
      <c r="AK30" s="811">
        <f>'BANG LUONG 1'!$N$2-CC!AJ31-CC!AK31-CC!AM31-1</f>
        <v>-2</v>
      </c>
      <c r="AL30" s="112">
        <f t="shared" si="0"/>
        <v>0</v>
      </c>
      <c r="AM30" s="116">
        <f t="shared" si="1"/>
        <v>0</v>
      </c>
      <c r="AN30" s="116">
        <f t="shared" si="2"/>
        <v>0</v>
      </c>
      <c r="AO30" s="116">
        <f t="shared" si="3"/>
        <v>0</v>
      </c>
      <c r="AP30" s="115">
        <f t="shared" si="4"/>
        <v>0</v>
      </c>
    </row>
    <row r="31" spans="1:42" s="54" customFormat="1" x14ac:dyDescent="0.25">
      <c r="A31" s="436">
        <v>28</v>
      </c>
      <c r="B31" s="436" t="s">
        <v>144</v>
      </c>
      <c r="C31" s="436" t="s">
        <v>42</v>
      </c>
      <c r="D31" s="436" t="s">
        <v>206</v>
      </c>
      <c r="E31" s="705"/>
      <c r="F31" s="705"/>
      <c r="G31" s="705"/>
      <c r="H31" s="708"/>
      <c r="I31" s="708"/>
      <c r="J31" s="708"/>
      <c r="K31" s="708"/>
      <c r="L31" s="708"/>
      <c r="M31" s="708"/>
      <c r="N31" s="708"/>
      <c r="O31" s="708"/>
      <c r="P31" s="708"/>
      <c r="Q31" s="708"/>
      <c r="R31" s="708"/>
      <c r="S31" s="708"/>
      <c r="T31" s="708"/>
      <c r="U31" s="708"/>
      <c r="V31" s="708"/>
      <c r="W31" s="708"/>
      <c r="X31" s="708"/>
      <c r="Y31" s="708"/>
      <c r="Z31" s="708"/>
      <c r="AA31" s="708"/>
      <c r="AB31" s="708"/>
      <c r="AC31" s="708"/>
      <c r="AD31" s="708"/>
      <c r="AE31" s="708"/>
      <c r="AF31" s="708"/>
      <c r="AG31" s="708"/>
      <c r="AH31" s="708"/>
      <c r="AI31" s="708"/>
      <c r="AJ31" s="112">
        <f>'BANG LUONG 1'!$N$2-CC!AJ32-CC!AK32-CC!AL32-CC!AM32</f>
        <v>-1</v>
      </c>
      <c r="AK31" s="811">
        <f>'BANG LUONG 1'!$N$2-CC!AJ32-CC!AK32-CC!AM32-1</f>
        <v>2</v>
      </c>
      <c r="AL31" s="112">
        <f t="shared" si="0"/>
        <v>0</v>
      </c>
      <c r="AM31" s="116">
        <f t="shared" si="1"/>
        <v>0</v>
      </c>
      <c r="AN31" s="116">
        <f t="shared" si="2"/>
        <v>0.75</v>
      </c>
      <c r="AO31" s="116">
        <f t="shared" si="3"/>
        <v>0</v>
      </c>
      <c r="AP31" s="115">
        <f t="shared" si="4"/>
        <v>0.75</v>
      </c>
    </row>
    <row r="32" spans="1:42" x14ac:dyDescent="0.25">
      <c r="A32" s="436">
        <v>29</v>
      </c>
      <c r="B32" s="436" t="s">
        <v>145</v>
      </c>
      <c r="C32" s="436" t="s">
        <v>756</v>
      </c>
      <c r="D32" s="436" t="s">
        <v>206</v>
      </c>
      <c r="E32" s="634"/>
      <c r="F32" s="634"/>
      <c r="G32" s="260"/>
      <c r="H32" s="421"/>
      <c r="I32" s="421"/>
      <c r="J32" s="421"/>
      <c r="K32" s="421"/>
      <c r="L32" s="421"/>
      <c r="M32" s="421"/>
      <c r="N32" s="421"/>
      <c r="O32" s="421"/>
      <c r="P32" s="421"/>
      <c r="Q32" s="421"/>
      <c r="R32" s="421"/>
      <c r="S32" s="421"/>
      <c r="T32" s="421"/>
      <c r="U32" s="421"/>
      <c r="V32" s="421"/>
      <c r="W32" s="421"/>
      <c r="X32" s="421"/>
      <c r="Y32" s="421"/>
      <c r="Z32" s="421"/>
      <c r="AA32" s="421"/>
      <c r="AB32" s="421"/>
      <c r="AC32" s="421"/>
      <c r="AD32" s="421"/>
      <c r="AE32" s="421"/>
      <c r="AF32" s="421"/>
      <c r="AG32" s="421"/>
      <c r="AH32" s="421"/>
      <c r="AI32" s="421"/>
      <c r="AJ32" s="112">
        <f>'BANG LUONG 1'!$N$2-CC!AJ33-CC!AK33-CC!AL33-CC!AM33</f>
        <v>2</v>
      </c>
      <c r="AK32" s="811">
        <f>'BANG LUONG 1'!$N$2-CC!AJ33-CC!AK33-CC!AM33-1</f>
        <v>2</v>
      </c>
      <c r="AL32" s="112">
        <f t="shared" si="0"/>
        <v>0</v>
      </c>
      <c r="AM32" s="116">
        <f t="shared" si="1"/>
        <v>1</v>
      </c>
      <c r="AN32" s="116">
        <f t="shared" si="2"/>
        <v>0.75</v>
      </c>
      <c r="AO32" s="116">
        <f t="shared" si="3"/>
        <v>0</v>
      </c>
      <c r="AP32" s="115">
        <f t="shared" si="4"/>
        <v>1</v>
      </c>
    </row>
    <row r="33" spans="1:42" x14ac:dyDescent="0.25">
      <c r="A33" s="436">
        <v>30</v>
      </c>
      <c r="B33" s="436" t="s">
        <v>146</v>
      </c>
      <c r="C33" s="436" t="s">
        <v>773</v>
      </c>
      <c r="D33" s="436" t="s">
        <v>206</v>
      </c>
      <c r="E33" s="634"/>
      <c r="F33" s="529"/>
      <c r="G33" s="529"/>
      <c r="H33" s="421"/>
      <c r="I33" s="421"/>
      <c r="J33" s="421"/>
      <c r="K33" s="421"/>
      <c r="L33" s="421"/>
      <c r="M33" s="421"/>
      <c r="N33" s="421"/>
      <c r="O33" s="421"/>
      <c r="P33" s="421"/>
      <c r="Q33" s="421"/>
      <c r="R33" s="421"/>
      <c r="S33" s="421"/>
      <c r="T33" s="421"/>
      <c r="U33" s="421"/>
      <c r="V33" s="421"/>
      <c r="W33" s="421"/>
      <c r="X33" s="421"/>
      <c r="Y33" s="421"/>
      <c r="Z33" s="421"/>
      <c r="AA33" s="421"/>
      <c r="AB33" s="421"/>
      <c r="AC33" s="421"/>
      <c r="AD33" s="421"/>
      <c r="AE33" s="421"/>
      <c r="AF33" s="421"/>
      <c r="AG33" s="421"/>
      <c r="AH33" s="421"/>
      <c r="AI33" s="421"/>
      <c r="AJ33" s="112">
        <f>'BANG LUONG 1'!$N$2-CC!AJ17-CC!AK17-CC!AL17-CC!AM17</f>
        <v>-1</v>
      </c>
      <c r="AK33" s="811">
        <f>'BANG LUONG 1'!$N$2-CC!AJ17-CC!AK17-CC!AM17-1</f>
        <v>-1</v>
      </c>
      <c r="AL33" s="112">
        <f t="shared" si="0"/>
        <v>0</v>
      </c>
      <c r="AM33" s="116">
        <f t="shared" si="1"/>
        <v>0</v>
      </c>
      <c r="AN33" s="116">
        <f t="shared" si="2"/>
        <v>0</v>
      </c>
      <c r="AO33" s="116">
        <f t="shared" si="3"/>
        <v>0</v>
      </c>
      <c r="AP33" s="115">
        <f t="shared" si="4"/>
        <v>0</v>
      </c>
    </row>
    <row r="34" spans="1:42" x14ac:dyDescent="0.25">
      <c r="A34" s="436">
        <v>31</v>
      </c>
      <c r="B34" s="436" t="s">
        <v>147</v>
      </c>
      <c r="C34" s="436" t="s">
        <v>714</v>
      </c>
      <c r="D34" s="436" t="s">
        <v>206</v>
      </c>
      <c r="E34" s="796"/>
      <c r="F34" s="796"/>
      <c r="G34" s="529"/>
      <c r="H34" s="421"/>
      <c r="I34" s="421"/>
      <c r="J34" s="421"/>
      <c r="K34" s="421"/>
      <c r="L34" s="421"/>
      <c r="M34" s="421"/>
      <c r="N34" s="421"/>
      <c r="O34" s="421"/>
      <c r="P34" s="421"/>
      <c r="Q34" s="421"/>
      <c r="R34" s="421"/>
      <c r="S34" s="421"/>
      <c r="T34" s="421"/>
      <c r="U34" s="421"/>
      <c r="V34" s="421"/>
      <c r="W34" s="421"/>
      <c r="X34" s="421"/>
      <c r="Y34" s="421"/>
      <c r="Z34" s="421"/>
      <c r="AA34" s="421"/>
      <c r="AB34" s="421"/>
      <c r="AC34" s="421"/>
      <c r="AD34" s="421"/>
      <c r="AE34" s="421"/>
      <c r="AF34" s="421"/>
      <c r="AG34" s="421"/>
      <c r="AH34" s="421"/>
      <c r="AI34" s="421"/>
      <c r="AJ34" s="112">
        <f>'BANG LUONG 1'!$N$2-CC!AJ34-CC!AK34-CC!AL34-CC!AM34</f>
        <v>-1</v>
      </c>
      <c r="AK34" s="811">
        <f>'BANG LUONG 1'!$N$2-CC!AJ34-CC!AK34-CC!AM34-1</f>
        <v>4</v>
      </c>
      <c r="AL34" s="112">
        <f t="shared" si="0"/>
        <v>0</v>
      </c>
      <c r="AM34" s="116">
        <f t="shared" si="1"/>
        <v>0</v>
      </c>
      <c r="AN34" s="116">
        <f t="shared" si="2"/>
        <v>1</v>
      </c>
      <c r="AO34" s="116">
        <f t="shared" si="3"/>
        <v>0</v>
      </c>
      <c r="AP34" s="115">
        <f t="shared" si="4"/>
        <v>1</v>
      </c>
    </row>
    <row r="35" spans="1:42" x14ac:dyDescent="0.25">
      <c r="A35" s="436">
        <v>32</v>
      </c>
      <c r="B35" s="436" t="s">
        <v>148</v>
      </c>
      <c r="C35" s="436" t="s">
        <v>774</v>
      </c>
      <c r="D35" s="436" t="s">
        <v>206</v>
      </c>
      <c r="E35" s="529"/>
      <c r="F35" s="529"/>
      <c r="G35" s="529"/>
      <c r="H35" s="421"/>
      <c r="I35" s="421"/>
      <c r="J35" s="421"/>
      <c r="K35" s="421"/>
      <c r="L35" s="421"/>
      <c r="M35" s="421"/>
      <c r="N35" s="421"/>
      <c r="O35" s="421"/>
      <c r="P35" s="421"/>
      <c r="Q35" s="421"/>
      <c r="R35" s="421"/>
      <c r="S35" s="421"/>
      <c r="T35" s="421"/>
      <c r="U35" s="421"/>
      <c r="V35" s="421"/>
      <c r="W35" s="421"/>
      <c r="X35" s="421"/>
      <c r="Y35" s="421"/>
      <c r="Z35" s="421"/>
      <c r="AA35" s="421"/>
      <c r="AB35" s="421"/>
      <c r="AC35" s="421"/>
      <c r="AD35" s="421"/>
      <c r="AE35" s="421"/>
      <c r="AF35" s="421"/>
      <c r="AG35" s="421"/>
      <c r="AH35" s="421"/>
      <c r="AI35" s="421"/>
      <c r="AJ35" s="112">
        <f>'BANG LUONG 1'!$N$2-CC!AJ35-CC!AK35-CC!AL35-CC!AM35</f>
        <v>-1</v>
      </c>
      <c r="AK35" s="811">
        <f>'BANG LUONG 1'!$N$2-CC!AJ35-CC!AK35-CC!AM35-1</f>
        <v>2</v>
      </c>
      <c r="AL35" s="112">
        <f t="shared" si="0"/>
        <v>0</v>
      </c>
      <c r="AM35" s="116">
        <f t="shared" si="1"/>
        <v>0</v>
      </c>
      <c r="AN35" s="116">
        <f t="shared" si="2"/>
        <v>0.75</v>
      </c>
      <c r="AO35" s="116">
        <f t="shared" si="3"/>
        <v>0</v>
      </c>
      <c r="AP35" s="115">
        <f t="shared" si="4"/>
        <v>0.75</v>
      </c>
    </row>
    <row r="36" spans="1:42" s="54" customFormat="1" ht="25.5" x14ac:dyDescent="0.25">
      <c r="A36" s="436">
        <v>33</v>
      </c>
      <c r="B36" s="436" t="s">
        <v>149</v>
      </c>
      <c r="C36" s="436" t="s">
        <v>747</v>
      </c>
      <c r="D36" s="436" t="s">
        <v>809</v>
      </c>
      <c r="E36" s="789"/>
      <c r="F36" s="789"/>
      <c r="G36" s="789"/>
      <c r="H36" s="670"/>
      <c r="I36" s="670"/>
      <c r="J36" s="670"/>
      <c r="K36" s="670"/>
      <c r="L36" s="670"/>
      <c r="M36" s="670"/>
      <c r="N36" s="670"/>
      <c r="O36" s="670"/>
      <c r="P36" s="670"/>
      <c r="Q36" s="670"/>
      <c r="R36" s="670"/>
      <c r="S36" s="670"/>
      <c r="T36" s="670"/>
      <c r="U36" s="670"/>
      <c r="V36" s="670"/>
      <c r="W36" s="670"/>
      <c r="X36" s="670"/>
      <c r="Y36" s="670"/>
      <c r="Z36" s="670"/>
      <c r="AA36" s="670"/>
      <c r="AB36" s="670"/>
      <c r="AC36" s="670"/>
      <c r="AD36" s="670"/>
      <c r="AE36" s="670"/>
      <c r="AF36" s="670"/>
      <c r="AG36" s="670"/>
      <c r="AH36" s="670"/>
      <c r="AI36" s="670"/>
      <c r="AJ36" s="112">
        <f>'BANG LUONG 1'!$N$2-CC!AJ36-CC!AK36-CC!AL36-CC!AM36</f>
        <v>-1</v>
      </c>
      <c r="AK36" s="811">
        <f>'BANG LUONG 1'!$N$2-CC!AJ36-CC!AK36-CC!AM36-1</f>
        <v>-1</v>
      </c>
      <c r="AL36" s="112">
        <f t="shared" si="0"/>
        <v>0</v>
      </c>
      <c r="AM36" s="116">
        <f t="shared" si="1"/>
        <v>0</v>
      </c>
      <c r="AN36" s="116">
        <f t="shared" si="2"/>
        <v>0</v>
      </c>
      <c r="AO36" s="116">
        <f t="shared" si="3"/>
        <v>0</v>
      </c>
      <c r="AP36" s="115">
        <f t="shared" si="4"/>
        <v>0</v>
      </c>
    </row>
    <row r="37" spans="1:42" x14ac:dyDescent="0.25">
      <c r="A37" s="856"/>
      <c r="B37" s="856" t="s">
        <v>150</v>
      </c>
      <c r="C37" s="856" t="s">
        <v>600</v>
      </c>
      <c r="D37" s="856" t="s">
        <v>808</v>
      </c>
      <c r="E37" s="807"/>
      <c r="F37" s="807"/>
      <c r="G37" s="807"/>
      <c r="H37" s="808"/>
      <c r="I37" s="808"/>
      <c r="J37" s="808"/>
      <c r="K37" s="808"/>
      <c r="L37" s="808"/>
      <c r="M37" s="808"/>
      <c r="N37" s="808"/>
      <c r="O37" s="808"/>
      <c r="P37" s="808"/>
      <c r="Q37" s="808"/>
      <c r="R37" s="808"/>
      <c r="S37" s="808"/>
      <c r="T37" s="808"/>
      <c r="U37" s="808"/>
      <c r="V37" s="808"/>
      <c r="W37" s="808"/>
      <c r="X37" s="808"/>
      <c r="Y37" s="808"/>
      <c r="Z37" s="808"/>
      <c r="AA37" s="808"/>
      <c r="AB37" s="808"/>
      <c r="AC37" s="808"/>
      <c r="AD37" s="808"/>
      <c r="AE37" s="808"/>
      <c r="AF37" s="808"/>
      <c r="AG37" s="808"/>
      <c r="AH37" s="808"/>
      <c r="AI37" s="808"/>
      <c r="AJ37" s="112">
        <f>'BANG LUONG 1'!$N$2-CC!AJ37-CC!AK37-CC!AL37-CC!AM37</f>
        <v>-1</v>
      </c>
      <c r="AK37" s="811">
        <f>'BANG LUONG 1'!$N$2-CC!AJ37-CC!AK37-CC!AM37-1</f>
        <v>-2</v>
      </c>
      <c r="AL37" s="112">
        <f t="shared" si="0"/>
        <v>0</v>
      </c>
      <c r="AM37" s="116">
        <f t="shared" si="1"/>
        <v>0</v>
      </c>
      <c r="AN37" s="116">
        <f t="shared" si="2"/>
        <v>0</v>
      </c>
      <c r="AO37" s="116">
        <f t="shared" si="3"/>
        <v>0</v>
      </c>
      <c r="AP37" s="115">
        <f t="shared" si="4"/>
        <v>0</v>
      </c>
    </row>
    <row r="38" spans="1:42" x14ac:dyDescent="0.25">
      <c r="A38" s="880">
        <v>34</v>
      </c>
      <c r="B38" s="880"/>
      <c r="C38" s="880" t="s">
        <v>737</v>
      </c>
      <c r="D38" s="880"/>
      <c r="E38" s="796"/>
      <c r="F38" s="796"/>
      <c r="G38" s="649"/>
      <c r="H38" s="421"/>
      <c r="I38" s="421"/>
      <c r="J38" s="421"/>
      <c r="K38" s="421"/>
      <c r="L38" s="421"/>
      <c r="M38" s="421"/>
      <c r="N38" s="421"/>
      <c r="O38" s="421"/>
      <c r="P38" s="421"/>
      <c r="Q38" s="421"/>
      <c r="R38" s="421"/>
      <c r="S38" s="421"/>
      <c r="T38" s="421"/>
      <c r="U38" s="421"/>
      <c r="V38" s="421"/>
      <c r="W38" s="421"/>
      <c r="X38" s="421"/>
      <c r="Y38" s="421"/>
      <c r="Z38" s="421"/>
      <c r="AA38" s="421"/>
      <c r="AB38" s="421"/>
      <c r="AC38" s="421"/>
      <c r="AD38" s="421"/>
      <c r="AE38" s="421"/>
      <c r="AF38" s="421"/>
      <c r="AG38" s="421"/>
      <c r="AH38" s="421"/>
      <c r="AI38" s="808"/>
      <c r="AJ38" s="808"/>
      <c r="AK38" s="808"/>
      <c r="AL38" s="808"/>
      <c r="AM38" s="808"/>
      <c r="AN38" s="808"/>
      <c r="AO38" s="808"/>
      <c r="AP38" s="808"/>
    </row>
    <row r="39" spans="1:42" x14ac:dyDescent="0.25">
      <c r="A39" s="436">
        <v>35</v>
      </c>
      <c r="B39" s="436" t="s">
        <v>151</v>
      </c>
      <c r="C39" s="436" t="s">
        <v>775</v>
      </c>
      <c r="D39" s="436" t="s">
        <v>776</v>
      </c>
      <c r="E39" s="260"/>
      <c r="F39" s="260"/>
      <c r="G39" s="260"/>
      <c r="H39" s="421"/>
      <c r="I39" s="421"/>
      <c r="J39" s="421"/>
      <c r="K39" s="421"/>
      <c r="L39" s="421"/>
      <c r="M39" s="421"/>
      <c r="N39" s="421"/>
      <c r="O39" s="421"/>
      <c r="P39" s="421"/>
      <c r="Q39" s="421"/>
      <c r="R39" s="421"/>
      <c r="S39" s="421"/>
      <c r="T39" s="421"/>
      <c r="U39" s="421"/>
      <c r="V39" s="421"/>
      <c r="W39" s="421"/>
      <c r="X39" s="421"/>
      <c r="Y39" s="421"/>
      <c r="Z39" s="421"/>
      <c r="AA39" s="421"/>
      <c r="AB39" s="421"/>
      <c r="AC39" s="421"/>
      <c r="AD39" s="421"/>
      <c r="AE39" s="421"/>
      <c r="AF39" s="421"/>
      <c r="AG39" s="421"/>
      <c r="AH39" s="421"/>
      <c r="AI39" s="421"/>
      <c r="AJ39" s="112">
        <f>'BANG LUONG 1'!$N$2-CC!AJ39-CC!AK39-CC!AL39-CC!AM39</f>
        <v>0.5</v>
      </c>
      <c r="AK39" s="811">
        <f>'BANG LUONG 1'!$N$2-CC!AJ39-CC!AK39-CC!AM39-1</f>
        <v>0</v>
      </c>
      <c r="AL39" s="112">
        <f t="shared" si="0"/>
        <v>0</v>
      </c>
      <c r="AM39" s="116">
        <f t="shared" si="1"/>
        <v>0</v>
      </c>
      <c r="AN39" s="116">
        <f t="shared" si="2"/>
        <v>0</v>
      </c>
      <c r="AO39" s="116">
        <f t="shared" si="3"/>
        <v>0</v>
      </c>
      <c r="AP39" s="115">
        <f t="shared" si="4"/>
        <v>0</v>
      </c>
    </row>
    <row r="40" spans="1:42" x14ac:dyDescent="0.25">
      <c r="A40" s="436">
        <v>37</v>
      </c>
      <c r="B40" s="436" t="s">
        <v>152</v>
      </c>
      <c r="C40" s="436" t="s">
        <v>86</v>
      </c>
      <c r="D40" s="436" t="s">
        <v>207</v>
      </c>
      <c r="H40" s="421"/>
      <c r="I40" s="421"/>
      <c r="J40" s="421"/>
      <c r="K40" s="421"/>
      <c r="L40" s="421"/>
      <c r="M40" s="421"/>
      <c r="N40" s="421"/>
      <c r="O40" s="421"/>
      <c r="P40" s="421"/>
      <c r="Q40" s="421"/>
      <c r="R40" s="421"/>
      <c r="S40" s="421"/>
      <c r="T40" s="421"/>
      <c r="U40" s="421"/>
      <c r="V40" s="421"/>
      <c r="W40" s="421"/>
      <c r="X40" s="421"/>
      <c r="Y40" s="421"/>
      <c r="Z40" s="421"/>
      <c r="AA40" s="421"/>
      <c r="AB40" s="421"/>
      <c r="AC40" s="421"/>
      <c r="AD40" s="421"/>
      <c r="AE40" s="421"/>
      <c r="AF40" s="421"/>
      <c r="AG40" s="421"/>
      <c r="AH40" s="421"/>
      <c r="AI40" s="421"/>
      <c r="AJ40" s="112">
        <f>'BANG LUONG 1'!$N$2-CC!AJ40-CC!AK40-CC!AL40-CC!AM40</f>
        <v>0.5</v>
      </c>
      <c r="AK40" s="811">
        <f>'BANG LUONG 1'!$N$2-CC!AJ40-CC!AK40-CC!AM40-1</f>
        <v>0</v>
      </c>
      <c r="AL40" s="112">
        <f t="shared" si="0"/>
        <v>0</v>
      </c>
      <c r="AM40" s="116">
        <f t="shared" si="1"/>
        <v>0</v>
      </c>
      <c r="AN40" s="116">
        <f t="shared" si="2"/>
        <v>0</v>
      </c>
      <c r="AO40" s="116">
        <f t="shared" si="3"/>
        <v>0</v>
      </c>
      <c r="AP40" s="115">
        <f t="shared" si="4"/>
        <v>0</v>
      </c>
    </row>
    <row r="41" spans="1:42" x14ac:dyDescent="0.25">
      <c r="A41" s="436">
        <v>38</v>
      </c>
      <c r="B41" s="436" t="s">
        <v>154</v>
      </c>
      <c r="C41" s="436" t="s">
        <v>78</v>
      </c>
      <c r="D41" s="436" t="s">
        <v>207</v>
      </c>
      <c r="H41" s="421"/>
      <c r="I41" s="421"/>
      <c r="J41" s="421"/>
      <c r="K41" s="421"/>
      <c r="L41" s="421"/>
      <c r="M41" s="421"/>
      <c r="N41" s="421"/>
      <c r="O41" s="421"/>
      <c r="P41" s="421"/>
      <c r="Q41" s="421"/>
      <c r="R41" s="421"/>
      <c r="S41" s="421"/>
      <c r="T41" s="421"/>
      <c r="U41" s="421"/>
      <c r="V41" s="421"/>
      <c r="W41" s="421"/>
      <c r="X41" s="421"/>
      <c r="Y41" s="421"/>
      <c r="Z41" s="421"/>
      <c r="AA41" s="421"/>
      <c r="AB41" s="421"/>
      <c r="AC41" s="421"/>
      <c r="AD41" s="421"/>
      <c r="AE41" s="421"/>
      <c r="AF41" s="421"/>
      <c r="AG41" s="421"/>
      <c r="AH41" s="421"/>
      <c r="AI41" s="421"/>
      <c r="AJ41" s="112">
        <f>'BANG LUONG 1'!$N$2-CC!AJ41-CC!AK41-CC!AL41-CC!AM41</f>
        <v>-1</v>
      </c>
      <c r="AK41" s="811">
        <f>'BANG LUONG 1'!$N$2-CC!AJ41-CC!AK41-CC!AM41-1</f>
        <v>-2</v>
      </c>
      <c r="AL41" s="112">
        <f t="shared" si="0"/>
        <v>0</v>
      </c>
      <c r="AM41" s="116">
        <f t="shared" si="1"/>
        <v>0</v>
      </c>
      <c r="AN41" s="116">
        <f t="shared" si="2"/>
        <v>0</v>
      </c>
      <c r="AO41" s="116">
        <f t="shared" si="3"/>
        <v>0</v>
      </c>
      <c r="AP41" s="115">
        <f t="shared" si="4"/>
        <v>0</v>
      </c>
    </row>
    <row r="42" spans="1:42" x14ac:dyDescent="0.25">
      <c r="A42" s="436"/>
      <c r="B42" s="436" t="s">
        <v>155</v>
      </c>
      <c r="C42" s="436" t="s">
        <v>620</v>
      </c>
      <c r="D42" s="436" t="s">
        <v>207</v>
      </c>
      <c r="H42" s="421"/>
      <c r="I42" s="421"/>
      <c r="J42" s="421"/>
      <c r="K42" s="421"/>
      <c r="L42" s="421"/>
      <c r="M42" s="421"/>
      <c r="N42" s="421"/>
      <c r="O42" s="421"/>
      <c r="P42" s="421"/>
      <c r="Q42" s="421"/>
      <c r="R42" s="421"/>
      <c r="S42" s="421"/>
      <c r="T42" s="421"/>
      <c r="U42" s="421"/>
      <c r="V42" s="421"/>
      <c r="W42" s="421"/>
      <c r="X42" s="421"/>
      <c r="Y42" s="421"/>
      <c r="Z42" s="421"/>
      <c r="AA42" s="421"/>
      <c r="AB42" s="421"/>
      <c r="AC42" s="421"/>
      <c r="AD42" s="421"/>
      <c r="AE42" s="421"/>
      <c r="AF42" s="421"/>
      <c r="AG42" s="421"/>
      <c r="AH42" s="421"/>
      <c r="AI42" s="421"/>
      <c r="AJ42" s="112">
        <f>'BANG LUONG 1'!$N$2-CC!AJ16-CC!AK16-CC!AL16-CC!AM16</f>
        <v>-1</v>
      </c>
      <c r="AK42" s="811">
        <f>'BANG LUONG 1'!$N$2-CC!AJ16-CC!AK16-CC!AM16-1</f>
        <v>-2</v>
      </c>
      <c r="AL42" s="112">
        <f t="shared" si="0"/>
        <v>0</v>
      </c>
      <c r="AM42" s="116">
        <f t="shared" si="1"/>
        <v>0</v>
      </c>
      <c r="AN42" s="116">
        <f t="shared" si="2"/>
        <v>0</v>
      </c>
      <c r="AO42" s="116">
        <f t="shared" si="3"/>
        <v>0</v>
      </c>
      <c r="AP42" s="115">
        <f t="shared" si="4"/>
        <v>0</v>
      </c>
    </row>
    <row r="43" spans="1:42" x14ac:dyDescent="0.25">
      <c r="A43" s="436"/>
      <c r="B43" s="436" t="s">
        <v>156</v>
      </c>
      <c r="C43" s="436" t="s">
        <v>820</v>
      </c>
      <c r="D43" s="436" t="s">
        <v>207</v>
      </c>
      <c r="H43" s="421"/>
      <c r="I43" s="421"/>
      <c r="J43" s="421"/>
      <c r="K43" s="421"/>
      <c r="L43" s="421"/>
      <c r="M43" s="421"/>
      <c r="N43" s="421"/>
      <c r="O43" s="421"/>
      <c r="P43" s="421"/>
      <c r="Q43" s="421"/>
      <c r="R43" s="421"/>
      <c r="S43" s="421"/>
      <c r="T43" s="421"/>
      <c r="U43" s="421"/>
      <c r="V43" s="421"/>
      <c r="W43" s="421"/>
      <c r="X43" s="421"/>
      <c r="Y43" s="421"/>
      <c r="Z43" s="421"/>
      <c r="AA43" s="421"/>
      <c r="AB43" s="421"/>
      <c r="AC43" s="421"/>
      <c r="AD43" s="421"/>
      <c r="AE43" s="421"/>
      <c r="AF43" s="421"/>
      <c r="AG43" s="421"/>
      <c r="AH43" s="421"/>
      <c r="AI43" s="421"/>
      <c r="AJ43" s="112">
        <f>'BANG LUONG 1'!$N$2-CC!AJ42-CC!AK42-CC!AL42-CC!AM42</f>
        <v>0</v>
      </c>
      <c r="AK43" s="811">
        <f>'BANG LUONG 1'!$N$2-CC!AJ42-CC!AK42-CC!AM42-1</f>
        <v>-1</v>
      </c>
      <c r="AL43" s="112">
        <f t="shared" si="0"/>
        <v>0</v>
      </c>
      <c r="AM43" s="116">
        <f t="shared" si="1"/>
        <v>0</v>
      </c>
      <c r="AN43" s="116">
        <f t="shared" si="2"/>
        <v>0</v>
      </c>
      <c r="AO43" s="116">
        <f t="shared" si="3"/>
        <v>0</v>
      </c>
      <c r="AP43" s="115">
        <f t="shared" si="4"/>
        <v>0</v>
      </c>
    </row>
    <row r="44" spans="1:42" x14ac:dyDescent="0.25">
      <c r="A44" s="436"/>
      <c r="B44" s="436" t="s">
        <v>158</v>
      </c>
      <c r="C44" s="436" t="s">
        <v>821</v>
      </c>
      <c r="D44" s="436" t="s">
        <v>207</v>
      </c>
      <c r="H44" s="421"/>
      <c r="I44" s="421"/>
      <c r="J44" s="421"/>
      <c r="K44" s="421"/>
      <c r="L44" s="421"/>
      <c r="M44" s="421"/>
      <c r="N44" s="421"/>
      <c r="O44" s="421"/>
      <c r="P44" s="421"/>
      <c r="Q44" s="421"/>
      <c r="R44" s="421"/>
      <c r="S44" s="421"/>
      <c r="T44" s="421"/>
      <c r="U44" s="421"/>
      <c r="V44" s="421"/>
      <c r="W44" s="421"/>
      <c r="X44" s="421"/>
      <c r="Y44" s="421"/>
      <c r="Z44" s="421"/>
      <c r="AA44" s="421"/>
      <c r="AB44" s="421"/>
      <c r="AC44" s="421"/>
      <c r="AD44" s="421"/>
      <c r="AE44" s="421"/>
      <c r="AF44" s="421"/>
      <c r="AG44" s="421"/>
      <c r="AH44" s="421"/>
      <c r="AI44" s="421"/>
      <c r="AJ44" s="112">
        <f>'BANG LUONG 1'!$N$2-CC!AJ43-CC!AK43-CC!AL43-CC!AM43</f>
        <v>-1</v>
      </c>
      <c r="AK44" s="811">
        <f>'BANG LUONG 1'!$N$2-CC!AJ43-CC!AK43-CC!AM43-1</f>
        <v>-2</v>
      </c>
      <c r="AL44" s="112">
        <f t="shared" si="0"/>
        <v>0</v>
      </c>
      <c r="AM44" s="116">
        <f t="shared" si="1"/>
        <v>0</v>
      </c>
      <c r="AN44" s="116">
        <f t="shared" si="2"/>
        <v>0</v>
      </c>
      <c r="AO44" s="116">
        <f t="shared" si="3"/>
        <v>0</v>
      </c>
      <c r="AP44" s="115">
        <f t="shared" si="4"/>
        <v>0</v>
      </c>
    </row>
    <row r="45" spans="1:42" x14ac:dyDescent="0.25">
      <c r="A45" s="856"/>
      <c r="B45" s="856" t="s">
        <v>162</v>
      </c>
      <c r="C45" s="856" t="s">
        <v>829</v>
      </c>
      <c r="D45" s="856" t="s">
        <v>207</v>
      </c>
      <c r="E45" s="805"/>
      <c r="F45" s="805"/>
      <c r="G45" s="805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112">
        <f>'BANG LUONG 1'!$N$2-CC!AJ44-CC!AK44-CC!AL44-CC!AM44</f>
        <v>-1</v>
      </c>
      <c r="AK45" s="811">
        <f>'BANG LUONG 1'!$N$2-CC!AJ44-CC!AK44-CC!AM44-1</f>
        <v>-2</v>
      </c>
      <c r="AL45" s="112">
        <f t="shared" ref="AL45" si="5">COUNTIF(E45:AI45,"NB")</f>
        <v>0</v>
      </c>
      <c r="AM45" s="116">
        <f t="shared" ref="AM45" si="6">IF(AJ45&gt;=1,100%,0)</f>
        <v>0</v>
      </c>
      <c r="AN45" s="116">
        <f t="shared" ref="AN45" si="7">IF(AK45&lt;1,0,IF(AK45=1,50%,IF(AK45&lt;=2,75%,IF(AK45&gt;2,100%,0))))</f>
        <v>0</v>
      </c>
      <c r="AO45" s="116">
        <f t="shared" ref="AO45" si="8">IF(AL45&lt;1,0,IF(AL45=1,25%,IF(AL45&lt;=2,50%,IF(AL45&lt;=3,75%,IF(AL45&gt;=4,100%,0)))))</f>
        <v>0</v>
      </c>
      <c r="AP45" s="115">
        <f t="shared" ref="AP45" si="9">IF(SUM(AM45:AO45)&lt;=100%,SUM(AM45:AO45),100%)</f>
        <v>0</v>
      </c>
    </row>
    <row r="46" spans="1:42" x14ac:dyDescent="0.25">
      <c r="A46" s="856"/>
      <c r="B46" s="856"/>
      <c r="C46" s="856" t="s">
        <v>891</v>
      </c>
      <c r="D46" s="856" t="s">
        <v>207</v>
      </c>
      <c r="E46" s="805"/>
      <c r="F46" s="805"/>
      <c r="G46" s="805"/>
      <c r="H46" s="806"/>
      <c r="I46" s="806"/>
      <c r="J46" s="806"/>
      <c r="K46" s="806"/>
      <c r="L46" s="806"/>
      <c r="M46" s="806"/>
      <c r="N46" s="806"/>
      <c r="O46" s="806"/>
      <c r="P46" s="806"/>
      <c r="Q46" s="806"/>
      <c r="R46" s="806"/>
      <c r="S46" s="806"/>
      <c r="T46" s="806"/>
      <c r="U46" s="806"/>
      <c r="V46" s="806"/>
      <c r="W46" s="806"/>
      <c r="X46" s="806"/>
      <c r="Y46" s="806"/>
      <c r="Z46" s="806"/>
      <c r="AA46" s="806"/>
      <c r="AB46" s="806"/>
      <c r="AC46" s="806"/>
      <c r="AD46" s="806"/>
      <c r="AE46" s="806"/>
      <c r="AF46" s="806"/>
      <c r="AG46" s="806"/>
      <c r="AH46" s="806"/>
      <c r="AI46" s="806"/>
      <c r="AJ46" s="112">
        <f>'BANG LUONG 1'!$N$2-CC!AJ45-CC!AK45-CC!AL45-CC!AM45</f>
        <v>-1</v>
      </c>
      <c r="AK46" s="811">
        <f>'BANG LUONG 1'!$N$2-CC!AJ45-CC!AK45-CC!AM45-1</f>
        <v>-2</v>
      </c>
      <c r="AL46" s="112">
        <f t="shared" ref="AL46" si="10">COUNTIF(E46:AI46,"NB")</f>
        <v>0</v>
      </c>
      <c r="AM46" s="116">
        <f t="shared" ref="AM46" si="11">IF(AJ46&gt;=1,100%,0)</f>
        <v>0</v>
      </c>
      <c r="AN46" s="116">
        <f t="shared" ref="AN46" si="12">IF(AK46&lt;1,0,IF(AK46=1,50%,IF(AK46&lt;=2,75%,IF(AK46&gt;2,100%,0))))</f>
        <v>0</v>
      </c>
      <c r="AO46" s="116">
        <f t="shared" ref="AO46" si="13">IF(AL46&lt;1,0,IF(AL46=1,25%,IF(AL46&lt;=2,50%,IF(AL46&lt;=3,75%,IF(AL46&gt;=4,100%,0)))))</f>
        <v>0</v>
      </c>
      <c r="AP46" s="115">
        <f t="shared" ref="AP46" si="14">IF(SUM(AM46:AO46)&lt;=100%,SUM(AM46:AO46),100%)</f>
        <v>0</v>
      </c>
    </row>
    <row r="47" spans="1:42" x14ac:dyDescent="0.25">
      <c r="A47" s="856"/>
      <c r="B47" s="856"/>
      <c r="C47" s="856" t="s">
        <v>912</v>
      </c>
      <c r="D47" s="856" t="s">
        <v>207</v>
      </c>
      <c r="E47" s="805"/>
      <c r="F47" s="805"/>
      <c r="G47" s="805"/>
      <c r="H47" s="806"/>
      <c r="I47" s="806"/>
      <c r="J47" s="806"/>
      <c r="K47" s="806"/>
      <c r="L47" s="806"/>
      <c r="M47" s="806"/>
      <c r="N47" s="806"/>
      <c r="O47" s="806"/>
      <c r="P47" s="806"/>
      <c r="Q47" s="806"/>
      <c r="R47" s="806"/>
      <c r="S47" s="806"/>
      <c r="T47" s="806"/>
      <c r="U47" s="806"/>
      <c r="V47" s="806"/>
      <c r="W47" s="806"/>
      <c r="X47" s="806"/>
      <c r="Y47" s="806"/>
      <c r="Z47" s="806"/>
      <c r="AA47" s="806"/>
      <c r="AB47" s="806"/>
      <c r="AC47" s="806"/>
      <c r="AD47" s="806"/>
      <c r="AE47" s="806"/>
      <c r="AF47" s="806"/>
      <c r="AG47" s="806"/>
      <c r="AH47" s="806"/>
      <c r="AI47" s="806"/>
      <c r="AJ47" s="112">
        <f>'BANG LUONG 1'!$N$2-CC!AJ46-CC!AK46-CC!AL46-CC!AM46</f>
        <v>-1</v>
      </c>
      <c r="AK47" s="811">
        <f>'BANG LUONG 1'!$N$2-CC!AJ46-CC!AK46-CC!AM46-1</f>
        <v>-2</v>
      </c>
      <c r="AL47" s="112">
        <f t="shared" ref="AL47" si="15">COUNTIF(E47:AI47,"NB")</f>
        <v>0</v>
      </c>
      <c r="AM47" s="116">
        <f t="shared" ref="AM47" si="16">IF(AJ47&gt;=1,100%,0)</f>
        <v>0</v>
      </c>
      <c r="AN47" s="116">
        <f t="shared" ref="AN47" si="17">IF(AK47&lt;1,0,IF(AK47=1,50%,IF(AK47&lt;=2,75%,IF(AK47&gt;2,100%,0))))</f>
        <v>0</v>
      </c>
      <c r="AO47" s="116">
        <f t="shared" ref="AO47" si="18">IF(AL47&lt;1,0,IF(AL47=1,25%,IF(AL47&lt;=2,50%,IF(AL47&lt;=3,75%,IF(AL47&gt;=4,100%,0)))))</f>
        <v>0</v>
      </c>
      <c r="AP47" s="115">
        <f t="shared" ref="AP47" si="19">IF(SUM(AM47:AO47)&lt;=100%,SUM(AM47:AO47),100%)</f>
        <v>0</v>
      </c>
    </row>
    <row r="48" spans="1:42" x14ac:dyDescent="0.25">
      <c r="A48" s="425">
        <v>42</v>
      </c>
      <c r="B48" s="425"/>
      <c r="C48" s="425" t="s">
        <v>739</v>
      </c>
      <c r="D48" s="425"/>
      <c r="H48" s="421"/>
      <c r="I48" s="421"/>
      <c r="J48" s="421"/>
      <c r="K48" s="421"/>
      <c r="L48" s="421"/>
      <c r="M48" s="421"/>
      <c r="N48" s="421"/>
      <c r="O48" s="421"/>
      <c r="P48" s="421"/>
      <c r="Q48" s="421"/>
      <c r="R48" s="421"/>
      <c r="S48" s="421"/>
      <c r="T48" s="421"/>
      <c r="U48" s="421"/>
      <c r="V48" s="421"/>
      <c r="W48" s="421"/>
      <c r="X48" s="421"/>
      <c r="Y48" s="421"/>
      <c r="Z48" s="421"/>
      <c r="AA48" s="421"/>
      <c r="AB48" s="421"/>
      <c r="AC48" s="421"/>
      <c r="AD48" s="421"/>
      <c r="AE48" s="421"/>
      <c r="AF48" s="421"/>
      <c r="AG48" s="421"/>
      <c r="AH48" s="421"/>
      <c r="AI48" s="806"/>
      <c r="AJ48" s="806"/>
      <c r="AK48" s="806"/>
      <c r="AL48" s="806"/>
      <c r="AM48" s="806"/>
      <c r="AN48" s="806"/>
      <c r="AO48" s="806"/>
      <c r="AP48" s="806"/>
    </row>
    <row r="49" spans="1:42" x14ac:dyDescent="0.25">
      <c r="A49" s="663">
        <v>43</v>
      </c>
      <c r="B49" s="436" t="s">
        <v>159</v>
      </c>
      <c r="C49" s="663" t="s">
        <v>65</v>
      </c>
      <c r="D49" s="663" t="s">
        <v>827</v>
      </c>
      <c r="H49" s="421"/>
      <c r="I49" s="421"/>
      <c r="J49" s="421"/>
      <c r="K49" s="421"/>
      <c r="L49" s="421"/>
      <c r="M49" s="421"/>
      <c r="N49" s="421"/>
      <c r="O49" s="421"/>
      <c r="P49" s="421"/>
      <c r="Q49" s="421"/>
      <c r="R49" s="421"/>
      <c r="S49" s="421"/>
      <c r="T49" s="421"/>
      <c r="U49" s="421"/>
      <c r="V49" s="421"/>
      <c r="W49" s="421"/>
      <c r="X49" s="421"/>
      <c r="Y49" s="421"/>
      <c r="Z49" s="421"/>
      <c r="AA49" s="421"/>
      <c r="AB49" s="421"/>
      <c r="AC49" s="421"/>
      <c r="AD49" s="421"/>
      <c r="AE49" s="421"/>
      <c r="AF49" s="421"/>
      <c r="AG49" s="421"/>
      <c r="AH49" s="421"/>
      <c r="AI49" s="421"/>
      <c r="AJ49" s="112">
        <f>'BANG LUONG 1'!$N$2-CC!AJ48-CC!AK48-CC!AL48-CC!AM48</f>
        <v>2</v>
      </c>
      <c r="AK49" s="811">
        <f>'BANG LUONG 1'!$N$2-CC!AJ48-CC!AK48-CC!AM48-1</f>
        <v>1</v>
      </c>
      <c r="AL49" s="112">
        <f t="shared" si="0"/>
        <v>0</v>
      </c>
      <c r="AM49" s="116">
        <f t="shared" si="1"/>
        <v>1</v>
      </c>
      <c r="AN49" s="116">
        <f t="shared" si="2"/>
        <v>0.5</v>
      </c>
      <c r="AO49" s="116">
        <f t="shared" si="3"/>
        <v>0</v>
      </c>
      <c r="AP49" s="115">
        <f t="shared" si="4"/>
        <v>1</v>
      </c>
    </row>
    <row r="50" spans="1:42" x14ac:dyDescent="0.25">
      <c r="A50" s="881">
        <v>44</v>
      </c>
      <c r="B50" s="882" t="s">
        <v>160</v>
      </c>
      <c r="C50" s="882" t="s">
        <v>239</v>
      </c>
      <c r="D50" s="882" t="s">
        <v>207</v>
      </c>
      <c r="H50" s="883"/>
      <c r="I50" s="883"/>
      <c r="J50" s="883"/>
      <c r="K50" s="883"/>
      <c r="L50" s="883"/>
      <c r="M50" s="883"/>
      <c r="N50" s="883"/>
      <c r="O50" s="883"/>
      <c r="P50" s="883"/>
      <c r="Q50" s="883"/>
      <c r="R50" s="883"/>
      <c r="S50" s="883"/>
      <c r="T50" s="883"/>
      <c r="U50" s="883"/>
      <c r="V50" s="883"/>
      <c r="W50" s="883"/>
      <c r="X50" s="883"/>
      <c r="Y50" s="883"/>
      <c r="Z50" s="883"/>
      <c r="AA50" s="883"/>
      <c r="AB50" s="883"/>
      <c r="AC50" s="883"/>
      <c r="AD50" s="883"/>
      <c r="AE50" s="883"/>
      <c r="AF50" s="883"/>
      <c r="AG50" s="883"/>
      <c r="AH50" s="883"/>
      <c r="AI50" s="883"/>
      <c r="AJ50" s="112">
        <f>'BANG LUONG 1'!$N$2-CC!AJ49-CC!AK49-CC!AL49-CC!AM49</f>
        <v>-1</v>
      </c>
      <c r="AK50" s="811">
        <f>'BANG LUONG 1'!$N$2-CC!AJ49-CC!AK49-CC!AM49-1</f>
        <v>0</v>
      </c>
      <c r="AL50" s="112">
        <f t="shared" si="0"/>
        <v>0</v>
      </c>
      <c r="AM50" s="116">
        <f t="shared" si="1"/>
        <v>0</v>
      </c>
      <c r="AN50" s="116">
        <f t="shared" si="2"/>
        <v>0</v>
      </c>
      <c r="AO50" s="116">
        <f t="shared" si="3"/>
        <v>0</v>
      </c>
      <c r="AP50" s="115">
        <f t="shared" si="4"/>
        <v>0</v>
      </c>
    </row>
    <row r="51" spans="1:42" x14ac:dyDescent="0.25">
      <c r="A51" s="663">
        <v>45</v>
      </c>
      <c r="B51" s="436" t="s">
        <v>161</v>
      </c>
      <c r="C51" s="436" t="s">
        <v>589</v>
      </c>
      <c r="D51" s="436" t="s">
        <v>207</v>
      </c>
      <c r="E51" s="421"/>
      <c r="F51" s="421"/>
      <c r="G51" s="421"/>
      <c r="H51" s="421"/>
      <c r="I51" s="421"/>
      <c r="J51" s="421"/>
      <c r="K51" s="421"/>
      <c r="L51" s="421"/>
      <c r="M51" s="421"/>
      <c r="N51" s="421"/>
      <c r="O51" s="421"/>
      <c r="P51" s="421"/>
      <c r="Q51" s="421"/>
      <c r="R51" s="421"/>
      <c r="S51" s="421"/>
      <c r="T51" s="421"/>
      <c r="U51" s="421"/>
      <c r="V51" s="421"/>
      <c r="W51" s="421"/>
      <c r="X51" s="421"/>
      <c r="Y51" s="421"/>
      <c r="Z51" s="421"/>
      <c r="AA51" s="421"/>
      <c r="AB51" s="421"/>
      <c r="AC51" s="421"/>
      <c r="AD51" s="421"/>
      <c r="AE51" s="421"/>
      <c r="AF51" s="421"/>
      <c r="AG51" s="421"/>
      <c r="AH51" s="421"/>
      <c r="AI51" s="421"/>
      <c r="AJ51" s="112">
        <f>'BANG LUONG 1'!$N$2-CC!AJ50-CC!AK50-CC!AL50-CC!AM50</f>
        <v>-1</v>
      </c>
      <c r="AK51" s="811">
        <f>'BANG LUONG 1'!$N$2-CC!AJ50-CC!AK50-CC!AM50-1</f>
        <v>-2</v>
      </c>
      <c r="AL51" s="112">
        <f t="shared" si="0"/>
        <v>0</v>
      </c>
      <c r="AM51" s="116">
        <f t="shared" si="1"/>
        <v>0</v>
      </c>
      <c r="AN51" s="116">
        <f t="shared" si="2"/>
        <v>0</v>
      </c>
      <c r="AO51" s="116">
        <f t="shared" si="3"/>
        <v>0</v>
      </c>
      <c r="AP51" s="115">
        <f t="shared" si="4"/>
        <v>0</v>
      </c>
    </row>
    <row r="52" spans="1:42" x14ac:dyDescent="0.25">
      <c r="A52" s="421"/>
      <c r="B52" s="421" t="s">
        <v>165</v>
      </c>
      <c r="C52" s="421" t="s">
        <v>888</v>
      </c>
      <c r="D52" s="421" t="s">
        <v>776</v>
      </c>
      <c r="E52" s="421"/>
      <c r="F52" s="421"/>
      <c r="G52" s="421"/>
      <c r="H52" s="421"/>
      <c r="I52" s="421"/>
      <c r="J52" s="421"/>
      <c r="K52" s="421"/>
      <c r="L52" s="421"/>
      <c r="M52" s="421"/>
      <c r="N52" s="421"/>
      <c r="O52" s="421"/>
      <c r="P52" s="421"/>
      <c r="Q52" s="421"/>
      <c r="R52" s="421"/>
      <c r="S52" s="421"/>
      <c r="T52" s="421"/>
      <c r="U52" s="421"/>
      <c r="V52" s="421"/>
      <c r="W52" s="421"/>
      <c r="X52" s="421"/>
      <c r="Y52" s="421"/>
      <c r="Z52" s="421"/>
      <c r="AA52" s="421"/>
      <c r="AB52" s="421"/>
      <c r="AC52" s="421"/>
      <c r="AD52" s="421"/>
      <c r="AE52" s="421"/>
      <c r="AF52" s="421"/>
      <c r="AG52" s="421"/>
      <c r="AH52" s="421"/>
      <c r="AI52" s="421"/>
      <c r="AJ52" s="112">
        <f>'BANG LUONG 1'!$N$2-CC!AJ51-CC!AK51-CC!AL51-CC!AM51</f>
        <v>-1</v>
      </c>
      <c r="AK52" s="811">
        <f>'BANG LUONG 1'!$N$2-CC!AJ51-CC!AK51-CC!AM51-1</f>
        <v>-2</v>
      </c>
      <c r="AL52" s="112">
        <f t="shared" si="0"/>
        <v>0</v>
      </c>
      <c r="AM52" s="116">
        <f t="shared" si="1"/>
        <v>0</v>
      </c>
      <c r="AN52" s="116">
        <f t="shared" si="2"/>
        <v>0</v>
      </c>
      <c r="AO52" s="116">
        <f t="shared" si="3"/>
        <v>0</v>
      </c>
      <c r="AP52" s="115">
        <f t="shared" si="4"/>
        <v>0</v>
      </c>
    </row>
    <row r="53" spans="1:42" x14ac:dyDescent="0.25">
      <c r="C53" t="s">
        <v>897</v>
      </c>
      <c r="AJ53" s="112">
        <f>'BANG LUONG 1'!$N$2-CC!AJ52-CC!AK52-CC!AL52-CC!AM52</f>
        <v>15.5</v>
      </c>
      <c r="AK53" s="811">
        <f>'BANG LUONG 1'!$N$2-CC!AJ52-CC!AK52-CC!AM52-1</f>
        <v>14.5</v>
      </c>
      <c r="AL53" s="112">
        <f t="shared" ref="AL53" si="20">COUNTIF(E53:AI53,"NB")</f>
        <v>0</v>
      </c>
      <c r="AM53" s="116">
        <f t="shared" ref="AM53" si="21">IF(AJ53&gt;=1,100%,0)</f>
        <v>1</v>
      </c>
      <c r="AN53" s="116">
        <f t="shared" ref="AN53" si="22">IF(AK53&lt;1,0,IF(AK53=1,50%,IF(AK53&lt;=2,75%,IF(AK53&gt;2,100%,0))))</f>
        <v>1</v>
      </c>
      <c r="AO53" s="116">
        <f t="shared" ref="AO53" si="23">IF(AL53&lt;1,0,IF(AL53=1,25%,IF(AL53&lt;=2,50%,IF(AL53&lt;=3,75%,IF(AL53&gt;=4,100%,0)))))</f>
        <v>0</v>
      </c>
      <c r="AP53" s="115">
        <f t="shared" ref="AP53" si="24">IF(SUM(AM53:AO53)&lt;=100%,SUM(AM53:AO53),100%)</f>
        <v>1</v>
      </c>
    </row>
  </sheetData>
  <mergeCells count="8">
    <mergeCell ref="E3:AI3"/>
    <mergeCell ref="AO3:AO4"/>
    <mergeCell ref="AP3:AP4"/>
    <mergeCell ref="AJ3:AJ4"/>
    <mergeCell ref="AK3:AK4"/>
    <mergeCell ref="AL3:AL4"/>
    <mergeCell ref="AM3:AM4"/>
    <mergeCell ref="AN3:AN4"/>
  </mergeCells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9" tint="0.39997558519241921"/>
    <pageSetUpPr fitToPage="1"/>
  </sheetPr>
  <dimension ref="A1:BT56"/>
  <sheetViews>
    <sheetView topLeftCell="A43" workbookViewId="0">
      <selection activeCell="AJ14" sqref="AJ14"/>
    </sheetView>
  </sheetViews>
  <sheetFormatPr defaultRowHeight="15" x14ac:dyDescent="0.25"/>
  <cols>
    <col min="1" max="1" width="4.140625" bestFit="1" customWidth="1"/>
    <col min="2" max="2" width="7.85546875" customWidth="1"/>
    <col min="3" max="3" width="18.42578125" customWidth="1"/>
    <col min="4" max="4" width="11.140625" customWidth="1"/>
    <col min="5" max="7" width="5.5703125" style="54" bestFit="1" customWidth="1"/>
    <col min="8" max="8" width="3.5703125" style="54" bestFit="1" customWidth="1"/>
    <col min="9" max="14" width="5.5703125" style="54" bestFit="1" customWidth="1"/>
    <col min="15" max="15" width="3.5703125" style="54" bestFit="1" customWidth="1"/>
    <col min="16" max="21" width="5.5703125" style="54" bestFit="1" customWidth="1"/>
    <col min="22" max="22" width="3.5703125" style="54" bestFit="1" customWidth="1"/>
    <col min="23" max="28" width="5.5703125" style="54" bestFit="1" customWidth="1"/>
    <col min="29" max="29" width="3.5703125" style="54" bestFit="1" customWidth="1"/>
    <col min="30" max="35" width="5.28515625" style="54" bestFit="1" customWidth="1"/>
    <col min="36" max="36" width="8.85546875" customWidth="1"/>
    <col min="37" max="37" width="7.5703125" customWidth="1"/>
    <col min="38" max="39" width="8.7109375" customWidth="1"/>
    <col min="40" max="42" width="4.7109375" style="78" customWidth="1"/>
    <col min="43" max="44" width="6.85546875" style="78" bestFit="1" customWidth="1"/>
    <col min="45" max="63" width="4.7109375" style="78" customWidth="1"/>
    <col min="64" max="64" width="6.85546875" style="78" bestFit="1" customWidth="1"/>
    <col min="65" max="70" width="4.7109375" style="78" customWidth="1"/>
    <col min="71" max="72" width="13.42578125" customWidth="1"/>
  </cols>
  <sheetData>
    <row r="1" spans="1:72" x14ac:dyDescent="0.25">
      <c r="A1" s="1"/>
      <c r="B1" s="1"/>
      <c r="C1" s="1"/>
      <c r="D1" s="1"/>
    </row>
    <row r="2" spans="1:72" x14ac:dyDescent="0.25">
      <c r="A2" s="1"/>
      <c r="B2" s="1"/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47">
        <v>38</v>
      </c>
      <c r="AO2" s="147">
        <v>39</v>
      </c>
      <c r="AP2" s="147">
        <v>40</v>
      </c>
      <c r="AQ2" s="147">
        <v>41</v>
      </c>
      <c r="AR2" s="147">
        <v>42</v>
      </c>
      <c r="AS2" s="147">
        <v>43</v>
      </c>
      <c r="AT2" s="147">
        <v>44</v>
      </c>
      <c r="AU2" s="147">
        <v>45</v>
      </c>
      <c r="AV2" s="147">
        <v>46</v>
      </c>
      <c r="AW2" s="147">
        <v>47</v>
      </c>
      <c r="AX2" s="147">
        <v>48</v>
      </c>
      <c r="AY2" s="147">
        <v>49</v>
      </c>
      <c r="AZ2" s="147">
        <v>50</v>
      </c>
      <c r="BA2" s="147">
        <v>51</v>
      </c>
      <c r="BB2" s="147">
        <v>52</v>
      </c>
      <c r="BC2" s="147">
        <v>53</v>
      </c>
      <c r="BD2" s="147">
        <v>54</v>
      </c>
      <c r="BE2" s="147">
        <v>55</v>
      </c>
      <c r="BF2" s="147">
        <v>56</v>
      </c>
      <c r="BG2" s="147">
        <v>57</v>
      </c>
      <c r="BH2" s="147">
        <v>58</v>
      </c>
      <c r="BI2" s="147">
        <v>59</v>
      </c>
      <c r="BJ2" s="147">
        <v>60</v>
      </c>
      <c r="BK2" s="147">
        <v>61</v>
      </c>
      <c r="BL2" s="147">
        <v>62</v>
      </c>
      <c r="BM2" s="147">
        <v>63</v>
      </c>
      <c r="BN2" s="147">
        <v>64</v>
      </c>
      <c r="BO2" s="147">
        <v>65</v>
      </c>
      <c r="BP2" s="147">
        <v>66</v>
      </c>
      <c r="BQ2" s="147">
        <v>67</v>
      </c>
      <c r="BR2" s="147">
        <v>68</v>
      </c>
      <c r="BS2" s="1">
        <v>69</v>
      </c>
      <c r="BT2" s="1">
        <v>70</v>
      </c>
    </row>
    <row r="3" spans="1:72" ht="15" customHeight="1" x14ac:dyDescent="0.25">
      <c r="A3" s="101"/>
      <c r="B3" s="101"/>
      <c r="C3" s="101"/>
      <c r="D3" s="101"/>
      <c r="E3" s="1021" t="s">
        <v>355</v>
      </c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6" t="s">
        <v>379</v>
      </c>
      <c r="AK3" s="1027"/>
      <c r="AL3" s="1026" t="s">
        <v>380</v>
      </c>
      <c r="AM3" s="1027"/>
      <c r="AN3" s="1028" t="s">
        <v>378</v>
      </c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6" t="s">
        <v>357</v>
      </c>
      <c r="BT3" s="1027"/>
    </row>
    <row r="4" spans="1:72" ht="22.5" customHeight="1" x14ac:dyDescent="0.25">
      <c r="A4" s="102" t="s">
        <v>0</v>
      </c>
      <c r="B4" s="102" t="s">
        <v>284</v>
      </c>
      <c r="C4" s="102" t="s">
        <v>2</v>
      </c>
      <c r="D4" s="103" t="s">
        <v>3</v>
      </c>
      <c r="E4" s="104">
        <v>1</v>
      </c>
      <c r="F4" s="104">
        <v>2</v>
      </c>
      <c r="G4" s="104">
        <v>3</v>
      </c>
      <c r="H4" s="104" t="s">
        <v>384</v>
      </c>
      <c r="I4" s="104">
        <v>5</v>
      </c>
      <c r="J4" s="104">
        <v>6</v>
      </c>
      <c r="K4" s="104">
        <v>7</v>
      </c>
      <c r="L4" s="104">
        <v>8</v>
      </c>
      <c r="M4" s="104">
        <v>9</v>
      </c>
      <c r="N4" s="104">
        <v>10</v>
      </c>
      <c r="O4" s="104" t="s">
        <v>384</v>
      </c>
      <c r="P4" s="104">
        <v>12</v>
      </c>
      <c r="Q4" s="104">
        <v>13</v>
      </c>
      <c r="R4" s="104">
        <v>14</v>
      </c>
      <c r="S4" s="104">
        <v>15</v>
      </c>
      <c r="T4" s="104">
        <v>16</v>
      </c>
      <c r="U4" s="104">
        <v>17</v>
      </c>
      <c r="V4" s="104" t="s">
        <v>384</v>
      </c>
      <c r="W4" s="104">
        <v>19</v>
      </c>
      <c r="X4" s="104">
        <v>20</v>
      </c>
      <c r="Y4" s="104">
        <v>21</v>
      </c>
      <c r="Z4" s="104">
        <v>22</v>
      </c>
      <c r="AA4" s="104">
        <v>23</v>
      </c>
      <c r="AB4" s="104">
        <v>24</v>
      </c>
      <c r="AC4" s="104" t="s">
        <v>384</v>
      </c>
      <c r="AD4" s="104">
        <v>26</v>
      </c>
      <c r="AE4" s="104">
        <v>27</v>
      </c>
      <c r="AF4" s="104">
        <v>28</v>
      </c>
      <c r="AG4" s="104">
        <v>29</v>
      </c>
      <c r="AH4" s="104">
        <v>30</v>
      </c>
      <c r="AI4" s="104">
        <v>31</v>
      </c>
      <c r="AJ4" s="112" t="s">
        <v>381</v>
      </c>
      <c r="AK4" s="112" t="s">
        <v>382</v>
      </c>
      <c r="AL4" s="112" t="s">
        <v>383</v>
      </c>
      <c r="AM4" s="112" t="s">
        <v>382</v>
      </c>
      <c r="AN4" s="112">
        <v>1</v>
      </c>
      <c r="AO4" s="112">
        <v>2</v>
      </c>
      <c r="AP4" s="112">
        <v>3</v>
      </c>
      <c r="AQ4" s="112" t="s">
        <v>384</v>
      </c>
      <c r="AR4" s="112">
        <v>5</v>
      </c>
      <c r="AS4" s="112">
        <v>6</v>
      </c>
      <c r="AT4" s="112">
        <v>7</v>
      </c>
      <c r="AU4" s="112">
        <v>8</v>
      </c>
      <c r="AV4" s="112">
        <v>9</v>
      </c>
      <c r="AW4" s="112">
        <v>10</v>
      </c>
      <c r="AX4" s="112" t="s">
        <v>384</v>
      </c>
      <c r="AY4" s="112">
        <v>12</v>
      </c>
      <c r="AZ4" s="112">
        <v>13</v>
      </c>
      <c r="BA4" s="112">
        <v>14</v>
      </c>
      <c r="BB4" s="112">
        <v>15</v>
      </c>
      <c r="BC4" s="112">
        <v>16</v>
      </c>
      <c r="BD4" s="112">
        <v>17</v>
      </c>
      <c r="BE4" s="112" t="s">
        <v>384</v>
      </c>
      <c r="BF4" s="112">
        <v>19</v>
      </c>
      <c r="BG4" s="112">
        <v>20</v>
      </c>
      <c r="BH4" s="112">
        <v>21</v>
      </c>
      <c r="BI4" s="112">
        <v>22</v>
      </c>
      <c r="BJ4" s="112">
        <v>23</v>
      </c>
      <c r="BK4" s="112">
        <v>24</v>
      </c>
      <c r="BL4" s="112" t="s">
        <v>384</v>
      </c>
      <c r="BM4" s="112">
        <v>26</v>
      </c>
      <c r="BN4" s="112">
        <v>27</v>
      </c>
      <c r="BO4" s="112">
        <v>28</v>
      </c>
      <c r="BP4" s="112">
        <v>29</v>
      </c>
      <c r="BQ4" s="112">
        <v>30</v>
      </c>
      <c r="BR4" s="112">
        <v>31</v>
      </c>
      <c r="BS4" s="112" t="s">
        <v>385</v>
      </c>
      <c r="BT4" s="112" t="s">
        <v>386</v>
      </c>
    </row>
    <row r="5" spans="1:72" x14ac:dyDescent="0.25">
      <c r="A5" s="23" t="s">
        <v>14</v>
      </c>
      <c r="B5" s="23"/>
      <c r="C5" s="23" t="s">
        <v>15</v>
      </c>
      <c r="D5" s="23"/>
      <c r="E5" s="144"/>
      <c r="F5" s="144"/>
      <c r="G5" s="144"/>
      <c r="H5" s="144"/>
      <c r="I5" s="144"/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113"/>
      <c r="AK5" s="113"/>
      <c r="AL5" s="113"/>
      <c r="AM5" s="113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49"/>
      <c r="BI5" s="149"/>
      <c r="BJ5" s="149"/>
      <c r="BK5" s="149"/>
      <c r="BL5" s="149"/>
      <c r="BM5" s="149"/>
      <c r="BN5" s="149"/>
      <c r="BO5" s="149"/>
      <c r="BP5" s="149"/>
      <c r="BQ5" s="149"/>
      <c r="BR5" s="149"/>
      <c r="BS5" s="113"/>
      <c r="BT5" s="113"/>
    </row>
    <row r="6" spans="1:72" ht="16.5" x14ac:dyDescent="0.25">
      <c r="A6" s="3">
        <v>45</v>
      </c>
      <c r="B6" s="3" t="str">
        <f>'Bang luong'!B6</f>
        <v>NV45</v>
      </c>
      <c r="C6" s="3" t="str">
        <f>VLOOKUP(B6,'Bang luong'!$B$5:$C$58,2,0)</f>
        <v>Nguyễn Đình Huệ</v>
      </c>
      <c r="D6" s="3" t="str">
        <f>VLOOKUP(B6,'Bang luong'!$B$5:$D$99,3,0)</f>
        <v>Quản đốc SX</v>
      </c>
      <c r="E6" s="138">
        <v>1</v>
      </c>
      <c r="F6" s="138">
        <v>1</v>
      </c>
      <c r="G6" s="138">
        <v>1</v>
      </c>
      <c r="H6" s="143"/>
      <c r="I6" s="138">
        <v>1</v>
      </c>
      <c r="J6" s="138">
        <v>1</v>
      </c>
      <c r="K6" s="138">
        <v>1</v>
      </c>
      <c r="L6" s="138">
        <v>1</v>
      </c>
      <c r="M6" s="138">
        <v>1</v>
      </c>
      <c r="N6" s="138">
        <v>1</v>
      </c>
      <c r="O6" s="143"/>
      <c r="P6" s="138">
        <v>1</v>
      </c>
      <c r="Q6" s="138">
        <v>1</v>
      </c>
      <c r="R6" s="138">
        <v>1</v>
      </c>
      <c r="S6" s="138">
        <v>1</v>
      </c>
      <c r="T6" s="138">
        <v>1</v>
      </c>
      <c r="U6" s="138">
        <v>1</v>
      </c>
      <c r="V6" s="143"/>
      <c r="W6" s="138">
        <v>1</v>
      </c>
      <c r="X6" s="138">
        <v>1</v>
      </c>
      <c r="Y6" s="138">
        <v>1</v>
      </c>
      <c r="Z6" s="138">
        <v>1</v>
      </c>
      <c r="AA6" s="138">
        <v>1</v>
      </c>
      <c r="AB6" s="138">
        <v>1</v>
      </c>
      <c r="AC6" s="143"/>
      <c r="AD6" s="141">
        <v>1</v>
      </c>
      <c r="AE6" s="141">
        <v>1</v>
      </c>
      <c r="AF6" s="141">
        <v>1</v>
      </c>
      <c r="AG6" s="141">
        <v>1</v>
      </c>
      <c r="AH6" s="141">
        <v>1</v>
      </c>
      <c r="AI6" s="141">
        <v>1</v>
      </c>
      <c r="AJ6" s="112">
        <f>SUM(E6:AI6)-AK6</f>
        <v>27</v>
      </c>
      <c r="AK6" s="112">
        <f>SUMIF($E$4:$AI$4,"LT",E6:AI6)</f>
        <v>0</v>
      </c>
      <c r="AL6" s="112">
        <f>COUNTIF(E6:AI6,"P")</f>
        <v>0</v>
      </c>
      <c r="AM6" s="112">
        <f>COUNTIF(E6:AI6,"LT")</f>
        <v>0</v>
      </c>
      <c r="AN6" s="152">
        <v>2.5</v>
      </c>
      <c r="AO6" s="152">
        <v>6</v>
      </c>
      <c r="AP6" s="152"/>
      <c r="AQ6" s="139">
        <v>10</v>
      </c>
      <c r="AR6" s="152"/>
      <c r="AS6" s="152">
        <v>7</v>
      </c>
      <c r="AT6" s="152">
        <v>8</v>
      </c>
      <c r="AU6" s="152"/>
      <c r="AV6" s="152">
        <v>7</v>
      </c>
      <c r="AW6" s="152"/>
      <c r="AX6" s="139"/>
      <c r="AY6" s="152">
        <v>6</v>
      </c>
      <c r="AZ6" s="152"/>
      <c r="BA6" s="152">
        <v>8</v>
      </c>
      <c r="BB6" s="152">
        <v>7</v>
      </c>
      <c r="BC6" s="152">
        <v>6</v>
      </c>
      <c r="BD6" s="152"/>
      <c r="BE6" s="139">
        <v>6</v>
      </c>
      <c r="BF6" s="152"/>
      <c r="BG6" s="152"/>
      <c r="BH6" s="152">
        <v>5</v>
      </c>
      <c r="BI6" s="152">
        <v>7</v>
      </c>
      <c r="BJ6" s="152">
        <v>3.5</v>
      </c>
      <c r="BK6" s="152"/>
      <c r="BL6" s="139">
        <v>16</v>
      </c>
      <c r="BM6" s="140"/>
      <c r="BN6" s="140">
        <v>7</v>
      </c>
      <c r="BO6" s="140">
        <v>8</v>
      </c>
      <c r="BP6" s="140">
        <v>8</v>
      </c>
      <c r="BQ6" s="140">
        <v>1</v>
      </c>
      <c r="BR6" s="148"/>
      <c r="BS6" s="112">
        <f t="shared" ref="BS6:BS55" si="0">SUM(AN6:BR6)-BT6</f>
        <v>97</v>
      </c>
      <c r="BT6" s="112">
        <f>SUMIF($AN$4:$BR$4,"CN",AN6:BR6)</f>
        <v>32</v>
      </c>
    </row>
    <row r="7" spans="1:72" ht="16.5" x14ac:dyDescent="0.25">
      <c r="A7" s="3">
        <v>46</v>
      </c>
      <c r="B7" s="3" t="str">
        <f>'Bang luong'!B7</f>
        <v>NV46</v>
      </c>
      <c r="C7" s="3" t="str">
        <f>VLOOKUP(B7,'Bang luong'!$B$5:$C$58,2,0)</f>
        <v>Nguyễn Văn Thanh</v>
      </c>
      <c r="D7" s="3" t="str">
        <f>VLOOKUP(B7,'Bang luong'!$B$5:$D$99,3,0)</f>
        <v>Trợ lý SX</v>
      </c>
      <c r="E7" s="138">
        <v>1</v>
      </c>
      <c r="F7" s="138">
        <v>1</v>
      </c>
      <c r="G7" s="138">
        <v>1</v>
      </c>
      <c r="H7" s="143"/>
      <c r="I7" s="138">
        <v>1</v>
      </c>
      <c r="J7" s="138">
        <v>1</v>
      </c>
      <c r="K7" s="138">
        <v>1</v>
      </c>
      <c r="L7" s="138">
        <v>1</v>
      </c>
      <c r="M7" s="138">
        <v>1</v>
      </c>
      <c r="N7" s="138">
        <v>1</v>
      </c>
      <c r="O7" s="143"/>
      <c r="P7" s="138">
        <v>1</v>
      </c>
      <c r="Q7" s="138">
        <v>1</v>
      </c>
      <c r="R7" s="138">
        <v>1</v>
      </c>
      <c r="S7" s="138">
        <v>1</v>
      </c>
      <c r="T7" s="138">
        <v>1</v>
      </c>
      <c r="U7" s="138">
        <v>1</v>
      </c>
      <c r="V7" s="143"/>
      <c r="W7" s="138">
        <v>1</v>
      </c>
      <c r="X7" s="138">
        <v>1</v>
      </c>
      <c r="Y7" s="138">
        <v>1</v>
      </c>
      <c r="Z7" s="138">
        <v>1</v>
      </c>
      <c r="AA7" s="138">
        <v>1</v>
      </c>
      <c r="AB7" s="138">
        <v>1</v>
      </c>
      <c r="AC7" s="143"/>
      <c r="AD7" s="141">
        <v>1</v>
      </c>
      <c r="AE7" s="141">
        <v>1</v>
      </c>
      <c r="AF7" s="141">
        <v>1</v>
      </c>
      <c r="AG7" s="141">
        <v>1</v>
      </c>
      <c r="AH7" s="141">
        <v>1</v>
      </c>
      <c r="AI7" s="141">
        <v>1</v>
      </c>
      <c r="AJ7" s="112">
        <f>SUM(E7:AI7)-AK7</f>
        <v>27</v>
      </c>
      <c r="AK7" s="112">
        <f t="shared" ref="AK7:AK55" si="1">SUMIF($E$4:$AI$4,"LT",E7:AI7)</f>
        <v>0</v>
      </c>
      <c r="AL7" s="112">
        <f>COUNTIF(E7:AI7,"P")</f>
        <v>0</v>
      </c>
      <c r="AM7" s="112">
        <f>COUNTIF(E7:AI7,"LT")</f>
        <v>0</v>
      </c>
      <c r="AN7" s="152">
        <v>1</v>
      </c>
      <c r="AO7" s="152">
        <v>6</v>
      </c>
      <c r="AP7" s="152"/>
      <c r="AQ7" s="139">
        <v>10</v>
      </c>
      <c r="AR7" s="152"/>
      <c r="AS7" s="152">
        <v>7</v>
      </c>
      <c r="AT7" s="152">
        <v>8</v>
      </c>
      <c r="AU7" s="152"/>
      <c r="AV7" s="152">
        <v>7</v>
      </c>
      <c r="AW7" s="152"/>
      <c r="AX7" s="139"/>
      <c r="AY7" s="152">
        <v>6</v>
      </c>
      <c r="AZ7" s="152"/>
      <c r="BA7" s="152">
        <v>8</v>
      </c>
      <c r="BB7" s="152">
        <v>7</v>
      </c>
      <c r="BC7" s="152">
        <v>6</v>
      </c>
      <c r="BD7" s="152"/>
      <c r="BE7" s="139">
        <v>8</v>
      </c>
      <c r="BF7" s="152"/>
      <c r="BG7" s="152"/>
      <c r="BH7" s="152">
        <v>5</v>
      </c>
      <c r="BI7" s="152">
        <v>7</v>
      </c>
      <c r="BJ7" s="152"/>
      <c r="BK7" s="152"/>
      <c r="BL7" s="139">
        <v>16</v>
      </c>
      <c r="BM7" s="140"/>
      <c r="BN7" s="140">
        <v>7</v>
      </c>
      <c r="BO7" s="140">
        <v>8</v>
      </c>
      <c r="BP7" s="140">
        <v>8</v>
      </c>
      <c r="BQ7" s="140">
        <v>1</v>
      </c>
      <c r="BR7" s="148"/>
      <c r="BS7" s="112">
        <f t="shared" si="0"/>
        <v>92</v>
      </c>
      <c r="BT7" s="112">
        <f t="shared" ref="BT7:BT55" si="2">SUMIF($AN$4:$BR$4,"CN",AN7:BR7)</f>
        <v>34</v>
      </c>
    </row>
    <row r="8" spans="1:72" ht="16.5" x14ac:dyDescent="0.25">
      <c r="A8" s="3">
        <v>47</v>
      </c>
      <c r="B8" s="3" t="str">
        <f>'Bang luong'!B8</f>
        <v>NV47</v>
      </c>
      <c r="C8" s="3" t="str">
        <f>VLOOKUP(B8,'Bang luong'!$B$5:$C$58,2,0)</f>
        <v>Chề A Sắt</v>
      </c>
      <c r="D8" s="3" t="str">
        <f>VLOOKUP(B8,'Bang luong'!$B$5:$D$99,3,0)</f>
        <v>Giám Sát</v>
      </c>
      <c r="E8" s="138">
        <v>1</v>
      </c>
      <c r="F8" s="138">
        <v>1</v>
      </c>
      <c r="G8" s="138">
        <v>1</v>
      </c>
      <c r="H8" s="143"/>
      <c r="I8" s="138">
        <v>1</v>
      </c>
      <c r="J8" s="138">
        <v>1</v>
      </c>
      <c r="K8" s="138">
        <v>1</v>
      </c>
      <c r="L8" s="138">
        <v>1</v>
      </c>
      <c r="M8" s="138">
        <v>1</v>
      </c>
      <c r="N8" s="138">
        <v>1</v>
      </c>
      <c r="O8" s="143"/>
      <c r="P8" s="138">
        <v>1</v>
      </c>
      <c r="Q8" s="138">
        <v>0.5</v>
      </c>
      <c r="R8" s="138">
        <v>0.5</v>
      </c>
      <c r="S8" s="138">
        <v>1</v>
      </c>
      <c r="T8" s="138">
        <v>1</v>
      </c>
      <c r="U8" s="138">
        <v>1</v>
      </c>
      <c r="V8" s="143"/>
      <c r="W8" s="138">
        <v>1</v>
      </c>
      <c r="X8" s="138">
        <v>1</v>
      </c>
      <c r="Y8" s="138">
        <v>0.5</v>
      </c>
      <c r="Z8" s="138">
        <v>1</v>
      </c>
      <c r="AA8" s="138">
        <v>1</v>
      </c>
      <c r="AB8" s="138">
        <v>0.5</v>
      </c>
      <c r="AC8" s="143"/>
      <c r="AD8" s="141">
        <v>1</v>
      </c>
      <c r="AE8" s="141">
        <v>1</v>
      </c>
      <c r="AF8" s="141">
        <v>0</v>
      </c>
      <c r="AG8" s="141">
        <v>1</v>
      </c>
      <c r="AH8" s="141">
        <v>1</v>
      </c>
      <c r="AI8" s="141">
        <v>1</v>
      </c>
      <c r="AJ8" s="112">
        <f>SUM(E8:AI8)-AK8</f>
        <v>24</v>
      </c>
      <c r="AK8" s="112">
        <f t="shared" si="1"/>
        <v>0</v>
      </c>
      <c r="AL8" s="112">
        <f>COUNTIF(E8:AI8,"P")</f>
        <v>0</v>
      </c>
      <c r="AM8" s="112">
        <f>COUNTIF(E8:AI8,"LT")</f>
        <v>0</v>
      </c>
      <c r="AN8" s="140"/>
      <c r="AO8" s="140"/>
      <c r="AP8" s="140"/>
      <c r="AQ8" s="139">
        <v>6.5</v>
      </c>
      <c r="AR8" s="140"/>
      <c r="AS8" s="140"/>
      <c r="AT8" s="140"/>
      <c r="AU8" s="140"/>
      <c r="AV8" s="140"/>
      <c r="AW8" s="140"/>
      <c r="AX8" s="139">
        <v>7</v>
      </c>
      <c r="AY8" s="140"/>
      <c r="AZ8" s="140">
        <v>2.5</v>
      </c>
      <c r="BA8" s="140"/>
      <c r="BB8" s="140"/>
      <c r="BC8" s="140"/>
      <c r="BD8" s="140"/>
      <c r="BE8" s="139">
        <v>4</v>
      </c>
      <c r="BF8" s="140"/>
      <c r="BG8" s="140"/>
      <c r="BH8" s="140"/>
      <c r="BI8" s="140"/>
      <c r="BJ8" s="140"/>
      <c r="BK8" s="140"/>
      <c r="BL8" s="139"/>
      <c r="BM8" s="140"/>
      <c r="BN8" s="140"/>
      <c r="BO8" s="140"/>
      <c r="BP8" s="140"/>
      <c r="BQ8" s="140"/>
      <c r="BR8" s="148"/>
      <c r="BS8" s="112">
        <f t="shared" si="0"/>
        <v>2.5</v>
      </c>
      <c r="BT8" s="112">
        <f t="shared" si="2"/>
        <v>17.5</v>
      </c>
    </row>
    <row r="9" spans="1:72" ht="16.5" x14ac:dyDescent="0.25">
      <c r="A9" s="3">
        <v>48</v>
      </c>
      <c r="B9" s="3" t="str">
        <f>'Bang luong'!B9</f>
        <v>NV48</v>
      </c>
      <c r="C9" s="3" t="str">
        <f>VLOOKUP(B9,'Bang luong'!$B$5:$C$58,2,0)</f>
        <v>Ngô Đình Chung</v>
      </c>
      <c r="D9" s="3" t="str">
        <f>VLOOKUP(B9,'Bang luong'!$B$5:$D$99,3,0)</f>
        <v>NV trạm cân</v>
      </c>
      <c r="E9" s="138">
        <v>1</v>
      </c>
      <c r="F9" s="138">
        <v>1</v>
      </c>
      <c r="G9" s="138">
        <v>0.5</v>
      </c>
      <c r="H9" s="143"/>
      <c r="I9" s="138">
        <v>0</v>
      </c>
      <c r="J9" s="138">
        <v>0</v>
      </c>
      <c r="K9" s="138">
        <v>1</v>
      </c>
      <c r="L9" s="138">
        <v>1</v>
      </c>
      <c r="M9" s="138">
        <v>1</v>
      </c>
      <c r="N9" s="138">
        <v>0</v>
      </c>
      <c r="O9" s="143"/>
      <c r="P9" s="138">
        <v>1</v>
      </c>
      <c r="Q9" s="138">
        <v>1</v>
      </c>
      <c r="R9" s="138">
        <v>1</v>
      </c>
      <c r="S9" s="138">
        <v>1</v>
      </c>
      <c r="T9" s="138">
        <v>1</v>
      </c>
      <c r="U9" s="138">
        <v>1</v>
      </c>
      <c r="V9" s="143"/>
      <c r="W9" s="138">
        <v>1</v>
      </c>
      <c r="X9" s="138">
        <v>1</v>
      </c>
      <c r="Y9" s="138">
        <v>1</v>
      </c>
      <c r="Z9" s="138">
        <v>1</v>
      </c>
      <c r="AA9" s="138">
        <v>1</v>
      </c>
      <c r="AB9" s="138">
        <v>1</v>
      </c>
      <c r="AC9" s="143"/>
      <c r="AD9" s="141">
        <v>1</v>
      </c>
      <c r="AE9" s="141">
        <v>1</v>
      </c>
      <c r="AF9" s="141">
        <v>1</v>
      </c>
      <c r="AG9" s="141">
        <v>1</v>
      </c>
      <c r="AH9" s="141">
        <v>1</v>
      </c>
      <c r="AI9" s="141">
        <v>1</v>
      </c>
      <c r="AJ9" s="112">
        <f>SUM(E9:AI9)-AK9</f>
        <v>23.5</v>
      </c>
      <c r="AK9" s="112">
        <f t="shared" si="1"/>
        <v>0</v>
      </c>
      <c r="AL9" s="112">
        <f>COUNTIF(E9:AI9,"P")</f>
        <v>0</v>
      </c>
      <c r="AM9" s="112">
        <f>COUNTIF(E9:AI9,"LT")</f>
        <v>0</v>
      </c>
      <c r="AN9" s="148"/>
      <c r="AO9" s="148"/>
      <c r="AP9" s="148"/>
      <c r="AQ9" s="148"/>
      <c r="AR9" s="148"/>
      <c r="AS9" s="148"/>
      <c r="AT9" s="148"/>
      <c r="AU9" s="148"/>
      <c r="AV9" s="148"/>
      <c r="AW9" s="148"/>
      <c r="AX9" s="148"/>
      <c r="AY9" s="148"/>
      <c r="AZ9" s="148"/>
      <c r="BA9" s="148"/>
      <c r="BB9" s="148"/>
      <c r="BC9" s="148"/>
      <c r="BD9" s="148"/>
      <c r="BE9" s="148"/>
      <c r="BF9" s="148"/>
      <c r="BG9" s="148"/>
      <c r="BH9" s="148"/>
      <c r="BI9" s="148"/>
      <c r="BJ9" s="148"/>
      <c r="BK9" s="148"/>
      <c r="BL9" s="148"/>
      <c r="BM9" s="148"/>
      <c r="BN9" s="148"/>
      <c r="BO9" s="148"/>
      <c r="BP9" s="148"/>
      <c r="BQ9" s="148"/>
      <c r="BR9" s="148"/>
      <c r="BS9" s="112">
        <f t="shared" si="0"/>
        <v>0</v>
      </c>
      <c r="BT9" s="112">
        <f t="shared" si="2"/>
        <v>0</v>
      </c>
    </row>
    <row r="10" spans="1:72" x14ac:dyDescent="0.25">
      <c r="A10" s="3"/>
      <c r="B10" s="3"/>
      <c r="C10" s="23" t="s">
        <v>361</v>
      </c>
      <c r="D10" s="23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44"/>
      <c r="AE10" s="144"/>
      <c r="AF10" s="144"/>
      <c r="AG10" s="144"/>
      <c r="AH10" s="144"/>
      <c r="AI10" s="144"/>
      <c r="AJ10" s="113"/>
      <c r="AK10" s="113"/>
      <c r="AL10" s="113"/>
      <c r="AM10" s="113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/>
      <c r="BQ10" s="149"/>
      <c r="BR10" s="149"/>
      <c r="BS10" s="112">
        <f t="shared" si="0"/>
        <v>0</v>
      </c>
      <c r="BT10" s="112">
        <f t="shared" si="2"/>
        <v>0</v>
      </c>
    </row>
    <row r="11" spans="1:72" ht="16.5" x14ac:dyDescent="0.25">
      <c r="A11" s="3"/>
      <c r="B11" s="3" t="str">
        <f>'Bang luong'!B11</f>
        <v>NV49</v>
      </c>
      <c r="C11" s="3" t="str">
        <f>VLOOKUP(B11,'Bang luong'!$B$5:$C$58,2,0)</f>
        <v>Đồng Anh Tuấn</v>
      </c>
      <c r="D11" s="3" t="str">
        <f>VLOOKUP(B11,'Bang luong'!$B$5:$D$99,3,0)</f>
        <v>Thủ kho</v>
      </c>
      <c r="E11" s="138">
        <v>1</v>
      </c>
      <c r="F11" s="138">
        <v>1</v>
      </c>
      <c r="G11" s="138">
        <v>1</v>
      </c>
      <c r="H11" s="143"/>
      <c r="I11" s="138">
        <v>1</v>
      </c>
      <c r="J11" s="138">
        <v>1</v>
      </c>
      <c r="K11" s="138">
        <v>1</v>
      </c>
      <c r="L11" s="138">
        <v>1</v>
      </c>
      <c r="M11" s="138">
        <v>1</v>
      </c>
      <c r="N11" s="138">
        <v>1</v>
      </c>
      <c r="O11" s="143"/>
      <c r="P11" s="138">
        <v>1</v>
      </c>
      <c r="Q11" s="138">
        <v>1</v>
      </c>
      <c r="R11" s="138">
        <v>1</v>
      </c>
      <c r="S11" s="138">
        <v>1</v>
      </c>
      <c r="T11" s="138">
        <v>1</v>
      </c>
      <c r="U11" s="138">
        <v>1</v>
      </c>
      <c r="V11" s="143"/>
      <c r="W11" s="138">
        <v>1</v>
      </c>
      <c r="X11" s="138">
        <v>1</v>
      </c>
      <c r="Y11" s="138">
        <v>1</v>
      </c>
      <c r="Z11" s="138">
        <v>1</v>
      </c>
      <c r="AA11" s="138">
        <v>1</v>
      </c>
      <c r="AB11" s="138">
        <v>1</v>
      </c>
      <c r="AC11" s="143"/>
      <c r="AD11" s="141">
        <v>1</v>
      </c>
      <c r="AE11" s="141">
        <v>1</v>
      </c>
      <c r="AF11" s="141">
        <v>1</v>
      </c>
      <c r="AG11" s="141">
        <v>1</v>
      </c>
      <c r="AH11" s="141">
        <v>1</v>
      </c>
      <c r="AI11" s="141">
        <v>1</v>
      </c>
      <c r="AJ11" s="112">
        <f>SUM(E11:AI11)-AK11</f>
        <v>27</v>
      </c>
      <c r="AK11" s="112">
        <f t="shared" si="1"/>
        <v>0</v>
      </c>
      <c r="AL11" s="112">
        <f>COUNTIF(E11:AI11,"P")</f>
        <v>0</v>
      </c>
      <c r="AM11" s="112">
        <f>COUNTIF(E11:AI11,"LT")</f>
        <v>0</v>
      </c>
      <c r="AN11" s="140">
        <v>2.5</v>
      </c>
      <c r="AO11" s="140"/>
      <c r="AP11" s="140"/>
      <c r="AQ11" s="139">
        <v>8</v>
      </c>
      <c r="AR11" s="140">
        <v>2.5</v>
      </c>
      <c r="AS11" s="140"/>
      <c r="AT11" s="140"/>
      <c r="AU11" s="140"/>
      <c r="AV11" s="140"/>
      <c r="AW11" s="140"/>
      <c r="AX11" s="139">
        <v>8.5</v>
      </c>
      <c r="AY11" s="140"/>
      <c r="AZ11" s="140">
        <v>2.5</v>
      </c>
      <c r="BA11" s="140"/>
      <c r="BB11" s="140"/>
      <c r="BC11" s="140"/>
      <c r="BD11" s="140"/>
      <c r="BE11" s="139"/>
      <c r="BF11" s="140"/>
      <c r="BG11" s="140"/>
      <c r="BH11" s="140"/>
      <c r="BI11" s="140"/>
      <c r="BJ11" s="140"/>
      <c r="BK11" s="140"/>
      <c r="BL11" s="139"/>
      <c r="BM11" s="140"/>
      <c r="BN11" s="140"/>
      <c r="BO11" s="140"/>
      <c r="BP11" s="140"/>
      <c r="BQ11" s="140"/>
      <c r="BR11" s="140"/>
      <c r="BS11" s="112">
        <f t="shared" si="0"/>
        <v>7.5</v>
      </c>
      <c r="BT11" s="112">
        <f t="shared" si="2"/>
        <v>16.5</v>
      </c>
    </row>
    <row r="12" spans="1:72" ht="22.5" x14ac:dyDescent="0.25">
      <c r="A12" s="3"/>
      <c r="B12" s="3" t="str">
        <f>'Bang luong'!B12</f>
        <v>NV50</v>
      </c>
      <c r="C12" s="3" t="str">
        <f>VLOOKUP(B12,'Bang luong'!$B$5:$C$58,2,0)</f>
        <v>Nguyễn Trường Thạch</v>
      </c>
      <c r="D12" s="3" t="str">
        <f>VLOOKUP(B12,'Bang luong'!$B$5:$D$99,3,0)</f>
        <v>NV kho</v>
      </c>
      <c r="E12" s="138">
        <v>0.5</v>
      </c>
      <c r="F12" s="138">
        <v>1</v>
      </c>
      <c r="G12" s="138">
        <v>1</v>
      </c>
      <c r="H12" s="143"/>
      <c r="I12" s="138">
        <v>0.5</v>
      </c>
      <c r="J12" s="138">
        <v>1</v>
      </c>
      <c r="K12" s="138">
        <v>0.5</v>
      </c>
      <c r="L12" s="138">
        <v>1</v>
      </c>
      <c r="M12" s="138">
        <v>1</v>
      </c>
      <c r="N12" s="138">
        <v>1</v>
      </c>
      <c r="O12" s="143"/>
      <c r="P12" s="138">
        <v>1</v>
      </c>
      <c r="Q12" s="138">
        <v>1</v>
      </c>
      <c r="R12" s="138">
        <v>1</v>
      </c>
      <c r="S12" s="138">
        <v>1</v>
      </c>
      <c r="T12" s="138">
        <v>1</v>
      </c>
      <c r="U12" s="138">
        <v>1</v>
      </c>
      <c r="V12" s="143"/>
      <c r="W12" s="138">
        <v>1</v>
      </c>
      <c r="X12" s="138">
        <v>1</v>
      </c>
      <c r="Y12" s="138">
        <v>1</v>
      </c>
      <c r="Z12" s="138">
        <v>1</v>
      </c>
      <c r="AA12" s="138">
        <v>1</v>
      </c>
      <c r="AB12" s="138">
        <v>1</v>
      </c>
      <c r="AC12" s="143"/>
      <c r="AD12" s="141">
        <v>1</v>
      </c>
      <c r="AE12" s="141">
        <v>1</v>
      </c>
      <c r="AF12" s="141">
        <v>1</v>
      </c>
      <c r="AG12" s="141">
        <v>1</v>
      </c>
      <c r="AH12" s="141">
        <v>1</v>
      </c>
      <c r="AI12" s="141">
        <v>1</v>
      </c>
      <c r="AJ12" s="112">
        <f>SUM(E12:AI12)-AK12</f>
        <v>25.5</v>
      </c>
      <c r="AK12" s="112">
        <f t="shared" si="1"/>
        <v>0</v>
      </c>
      <c r="AL12" s="112">
        <f>COUNTIF(E12:AI12,"P")</f>
        <v>0</v>
      </c>
      <c r="AM12" s="112">
        <f>COUNTIF(E12:AI12,"LT")</f>
        <v>0</v>
      </c>
      <c r="AN12" s="140"/>
      <c r="AO12" s="140"/>
      <c r="AP12" s="140">
        <v>8</v>
      </c>
      <c r="AQ12" s="139">
        <v>7</v>
      </c>
      <c r="AR12" s="140"/>
      <c r="AS12" s="140"/>
      <c r="AT12" s="140"/>
      <c r="AU12" s="140"/>
      <c r="AV12" s="140"/>
      <c r="AW12" s="140">
        <v>8</v>
      </c>
      <c r="AX12" s="139">
        <v>15</v>
      </c>
      <c r="AY12" s="140"/>
      <c r="AZ12" s="140">
        <v>2.5</v>
      </c>
      <c r="BA12" s="140"/>
      <c r="BB12" s="140"/>
      <c r="BC12" s="140"/>
      <c r="BD12" s="140">
        <v>8</v>
      </c>
      <c r="BE12" s="139">
        <v>7</v>
      </c>
      <c r="BF12" s="140"/>
      <c r="BG12" s="140"/>
      <c r="BH12" s="140"/>
      <c r="BI12" s="140"/>
      <c r="BJ12" s="140"/>
      <c r="BK12" s="140">
        <v>8</v>
      </c>
      <c r="BL12" s="139">
        <v>15</v>
      </c>
      <c r="BM12" s="140"/>
      <c r="BN12" s="140"/>
      <c r="BO12" s="140"/>
      <c r="BP12" s="140">
        <v>3</v>
      </c>
      <c r="BQ12" s="140"/>
      <c r="BR12" s="140">
        <v>8</v>
      </c>
      <c r="BS12" s="112">
        <f t="shared" si="0"/>
        <v>45.5</v>
      </c>
      <c r="BT12" s="112">
        <f t="shared" si="2"/>
        <v>44</v>
      </c>
    </row>
    <row r="13" spans="1:72" ht="22.5" x14ac:dyDescent="0.25">
      <c r="A13" s="23" t="s">
        <v>16</v>
      </c>
      <c r="B13" s="23"/>
      <c r="C13" s="23" t="s">
        <v>17</v>
      </c>
      <c r="D13" s="23"/>
      <c r="E13" s="144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13"/>
      <c r="AK13" s="113"/>
      <c r="AL13" s="113"/>
      <c r="AM13" s="113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12">
        <f t="shared" si="0"/>
        <v>0</v>
      </c>
      <c r="BT13" s="112">
        <f t="shared" si="2"/>
        <v>0</v>
      </c>
    </row>
    <row r="14" spans="1:72" ht="22.5" x14ac:dyDescent="0.25">
      <c r="A14" s="3">
        <v>49</v>
      </c>
      <c r="B14" s="3" t="str">
        <f>'Bang luong'!B14</f>
        <v>NV51</v>
      </c>
      <c r="C14" s="3" t="str">
        <f>VLOOKUP(B14,'Bang luong'!$B$5:$C$58,2,0)</f>
        <v>Lê Công Nhất Trung</v>
      </c>
      <c r="D14" s="3" t="str">
        <f>VLOOKUP(B14,'Bang luong'!$B$5:$D$99,3,0)</f>
        <v>KS Môi trường</v>
      </c>
      <c r="E14" s="145">
        <v>1</v>
      </c>
      <c r="F14" s="145">
        <v>1</v>
      </c>
      <c r="G14" s="145">
        <v>1</v>
      </c>
      <c r="H14" s="145"/>
      <c r="I14" s="145">
        <v>1</v>
      </c>
      <c r="J14" s="145">
        <v>1</v>
      </c>
      <c r="K14" s="145">
        <v>1</v>
      </c>
      <c r="L14" s="145">
        <v>1</v>
      </c>
      <c r="M14" s="145">
        <v>1</v>
      </c>
      <c r="N14" s="145">
        <v>1</v>
      </c>
      <c r="O14" s="145"/>
      <c r="P14" s="145">
        <v>1</v>
      </c>
      <c r="Q14" s="145">
        <v>1</v>
      </c>
      <c r="R14" s="145">
        <v>1</v>
      </c>
      <c r="S14" s="145">
        <v>1</v>
      </c>
      <c r="T14" s="145">
        <v>1</v>
      </c>
      <c r="U14" s="145">
        <v>1</v>
      </c>
      <c r="V14" s="145"/>
      <c r="W14" s="145">
        <v>1</v>
      </c>
      <c r="X14" s="145">
        <v>1</v>
      </c>
      <c r="Y14" s="145">
        <v>1</v>
      </c>
      <c r="Z14" s="145">
        <v>1</v>
      </c>
      <c r="AA14" s="145">
        <v>1</v>
      </c>
      <c r="AB14" s="145">
        <v>1</v>
      </c>
      <c r="AC14" s="145"/>
      <c r="AD14" s="145">
        <v>1</v>
      </c>
      <c r="AE14" s="145">
        <v>1</v>
      </c>
      <c r="AF14" s="145">
        <v>1</v>
      </c>
      <c r="AG14" s="145">
        <v>1</v>
      </c>
      <c r="AH14" s="145">
        <v>1</v>
      </c>
      <c r="AI14" s="145">
        <v>1</v>
      </c>
      <c r="AJ14" s="112">
        <f>SUM(E14:AI14)-AK14</f>
        <v>27</v>
      </c>
      <c r="AK14" s="112">
        <f t="shared" si="1"/>
        <v>0</v>
      </c>
      <c r="AL14" s="112">
        <f>COUNTIF(E14:AI14,"P")</f>
        <v>0</v>
      </c>
      <c r="AM14" s="112">
        <f>COUNTIF(E14:AI14,"LT")</f>
        <v>0</v>
      </c>
      <c r="AN14" s="150"/>
      <c r="AO14" s="150"/>
      <c r="AP14" s="150"/>
      <c r="AQ14" s="150"/>
      <c r="AR14" s="150"/>
      <c r="AS14" s="150"/>
      <c r="AT14" s="150"/>
      <c r="AU14" s="150"/>
      <c r="AV14" s="150"/>
      <c r="AW14" s="150"/>
      <c r="AX14" s="150"/>
      <c r="AY14" s="150"/>
      <c r="AZ14" s="150"/>
      <c r="BA14" s="150"/>
      <c r="BB14" s="150"/>
      <c r="BC14" s="150"/>
      <c r="BD14" s="150"/>
      <c r="BE14" s="150"/>
      <c r="BF14" s="150"/>
      <c r="BG14" s="150"/>
      <c r="BH14" s="150"/>
      <c r="BI14" s="150"/>
      <c r="BJ14" s="150"/>
      <c r="BK14" s="150"/>
      <c r="BL14" s="150"/>
      <c r="BM14" s="150"/>
      <c r="BN14" s="150"/>
      <c r="BO14" s="150"/>
      <c r="BP14" s="150"/>
      <c r="BQ14" s="150"/>
      <c r="BR14" s="150"/>
      <c r="BS14" s="112">
        <f t="shared" si="0"/>
        <v>0</v>
      </c>
      <c r="BT14" s="112">
        <f t="shared" si="2"/>
        <v>0</v>
      </c>
    </row>
    <row r="15" spans="1:72" ht="22.5" x14ac:dyDescent="0.25">
      <c r="A15" s="3">
        <v>50</v>
      </c>
      <c r="B15" s="3" t="str">
        <f>'Bang luong'!B15</f>
        <v>NV52</v>
      </c>
      <c r="C15" s="3" t="str">
        <f>VLOOKUP(B15,'Bang luong'!$B$5:$C$58,2,0)</f>
        <v>Hồ Phan Thiết Toàn</v>
      </c>
      <c r="D15" s="3" t="str">
        <f>VLOOKUP(B15,'Bang luong'!$B$5:$D$99,3,0)</f>
        <v>KS Nông nghiệp</v>
      </c>
      <c r="E15" s="138">
        <v>1</v>
      </c>
      <c r="F15" s="138">
        <v>1</v>
      </c>
      <c r="G15" s="138">
        <v>1</v>
      </c>
      <c r="H15" s="143"/>
      <c r="I15" s="138">
        <v>1</v>
      </c>
      <c r="J15" s="138">
        <v>1</v>
      </c>
      <c r="K15" s="138">
        <v>1</v>
      </c>
      <c r="L15" s="138">
        <v>1</v>
      </c>
      <c r="M15" s="138">
        <v>1</v>
      </c>
      <c r="N15" s="138">
        <v>1</v>
      </c>
      <c r="O15" s="143"/>
      <c r="P15" s="138">
        <v>1</v>
      </c>
      <c r="Q15" s="138">
        <v>1</v>
      </c>
      <c r="R15" s="138">
        <v>1</v>
      </c>
      <c r="S15" s="138">
        <v>0.5</v>
      </c>
      <c r="T15" s="138">
        <v>0</v>
      </c>
      <c r="U15" s="138">
        <v>1</v>
      </c>
      <c r="V15" s="143"/>
      <c r="W15" s="138">
        <v>1</v>
      </c>
      <c r="X15" s="138">
        <v>1</v>
      </c>
      <c r="Y15" s="138">
        <v>1</v>
      </c>
      <c r="Z15" s="138">
        <v>1</v>
      </c>
      <c r="AA15" s="138">
        <v>1</v>
      </c>
      <c r="AB15" s="138">
        <v>1</v>
      </c>
      <c r="AC15" s="143"/>
      <c r="AD15" s="141">
        <v>1</v>
      </c>
      <c r="AE15" s="141">
        <v>1</v>
      </c>
      <c r="AF15" s="141">
        <v>1</v>
      </c>
      <c r="AG15" s="141">
        <v>1</v>
      </c>
      <c r="AH15" s="141">
        <v>0.5</v>
      </c>
      <c r="AI15" s="141">
        <v>1</v>
      </c>
      <c r="AJ15" s="112">
        <f>SUM(E15:AI15)-AK15</f>
        <v>25</v>
      </c>
      <c r="AK15" s="112">
        <f t="shared" si="1"/>
        <v>0</v>
      </c>
      <c r="AL15" s="112">
        <f>COUNTIF(E15:AI15,"P")</f>
        <v>0</v>
      </c>
      <c r="AM15" s="112">
        <f>COUNTIF(E15:AI15,"LT")</f>
        <v>0</v>
      </c>
      <c r="AN15" s="150"/>
      <c r="AO15" s="150"/>
      <c r="AP15" s="150"/>
      <c r="AQ15" s="150"/>
      <c r="AR15" s="150"/>
      <c r="AS15" s="150"/>
      <c r="AT15" s="150"/>
      <c r="AU15" s="150"/>
      <c r="AV15" s="150"/>
      <c r="AW15" s="150"/>
      <c r="AX15" s="150"/>
      <c r="AY15" s="150"/>
      <c r="AZ15" s="150"/>
      <c r="BA15" s="150"/>
      <c r="BB15" s="150"/>
      <c r="BC15" s="150"/>
      <c r="BD15" s="150"/>
      <c r="BE15" s="150"/>
      <c r="BF15" s="150"/>
      <c r="BG15" s="150"/>
      <c r="BH15" s="150"/>
      <c r="BI15" s="150"/>
      <c r="BJ15" s="150"/>
      <c r="BK15" s="150"/>
      <c r="BL15" s="150"/>
      <c r="BM15" s="150"/>
      <c r="BN15" s="150"/>
      <c r="BO15" s="150"/>
      <c r="BP15" s="150"/>
      <c r="BQ15" s="150"/>
      <c r="BR15" s="150"/>
      <c r="BS15" s="112">
        <f t="shared" si="0"/>
        <v>0</v>
      </c>
      <c r="BT15" s="112">
        <f t="shared" si="2"/>
        <v>0</v>
      </c>
    </row>
    <row r="16" spans="1:72" ht="22.5" x14ac:dyDescent="0.25">
      <c r="A16" s="23" t="s">
        <v>18</v>
      </c>
      <c r="B16" s="23"/>
      <c r="C16" s="23" t="s">
        <v>19</v>
      </c>
      <c r="D16" s="23"/>
      <c r="E16" s="144"/>
      <c r="F16" s="144"/>
      <c r="G16" s="144"/>
      <c r="H16" s="144"/>
      <c r="I16" s="144"/>
      <c r="J16" s="144"/>
      <c r="K16" s="144"/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113"/>
      <c r="AK16" s="113"/>
      <c r="AL16" s="113"/>
      <c r="AM16" s="113"/>
      <c r="AN16" s="149"/>
      <c r="AO16" s="149"/>
      <c r="AP16" s="149"/>
      <c r="AQ16" s="149"/>
      <c r="AR16" s="149"/>
      <c r="AS16" s="149"/>
      <c r="AT16" s="149"/>
      <c r="AU16" s="149"/>
      <c r="AV16" s="149"/>
      <c r="AW16" s="149"/>
      <c r="AX16" s="149"/>
      <c r="AY16" s="149"/>
      <c r="AZ16" s="149"/>
      <c r="BA16" s="149"/>
      <c r="BB16" s="149"/>
      <c r="BC16" s="149"/>
      <c r="BD16" s="149"/>
      <c r="BE16" s="149"/>
      <c r="BF16" s="149"/>
      <c r="BG16" s="149"/>
      <c r="BH16" s="149"/>
      <c r="BI16" s="149"/>
      <c r="BJ16" s="149"/>
      <c r="BK16" s="149"/>
      <c r="BL16" s="149"/>
      <c r="BM16" s="149"/>
      <c r="BN16" s="149"/>
      <c r="BO16" s="149"/>
      <c r="BP16" s="149"/>
      <c r="BQ16" s="149"/>
      <c r="BR16" s="149"/>
      <c r="BS16" s="112">
        <f t="shared" si="0"/>
        <v>0</v>
      </c>
      <c r="BT16" s="112">
        <f t="shared" si="2"/>
        <v>0</v>
      </c>
    </row>
    <row r="17" spans="1:72" ht="16.5" x14ac:dyDescent="0.25">
      <c r="A17" s="3">
        <v>51</v>
      </c>
      <c r="B17" s="3" t="str">
        <f>'Bang luong'!B18</f>
        <v>NV53</v>
      </c>
      <c r="C17" s="3" t="str">
        <f>VLOOKUP(B17,'Bang luong'!$B$5:$C$58,2,0)</f>
        <v>Trần Ngọc Minh</v>
      </c>
      <c r="D17" s="3" t="str">
        <f>VLOOKUP(B17,'Bang luong'!$B$5:$D$99,3,0)</f>
        <v>NV bảo trì</v>
      </c>
      <c r="E17" s="138">
        <v>1</v>
      </c>
      <c r="F17" s="138">
        <v>1</v>
      </c>
      <c r="G17" s="138">
        <v>1</v>
      </c>
      <c r="H17" s="143"/>
      <c r="I17" s="138">
        <v>1</v>
      </c>
      <c r="J17" s="138">
        <v>1</v>
      </c>
      <c r="K17" s="138">
        <v>1</v>
      </c>
      <c r="L17" s="138">
        <v>1</v>
      </c>
      <c r="M17" s="138">
        <v>1</v>
      </c>
      <c r="N17" s="138">
        <v>1</v>
      </c>
      <c r="O17" s="143"/>
      <c r="P17" s="138">
        <v>1</v>
      </c>
      <c r="Q17" s="138">
        <v>1</v>
      </c>
      <c r="R17" s="138">
        <v>1</v>
      </c>
      <c r="S17" s="138">
        <v>1</v>
      </c>
      <c r="T17" s="138">
        <v>1</v>
      </c>
      <c r="U17" s="138">
        <v>1</v>
      </c>
      <c r="V17" s="143"/>
      <c r="W17" s="138">
        <v>1</v>
      </c>
      <c r="X17" s="138">
        <v>1</v>
      </c>
      <c r="Y17" s="138">
        <v>1</v>
      </c>
      <c r="Z17" s="138">
        <v>1</v>
      </c>
      <c r="AA17" s="138">
        <v>1</v>
      </c>
      <c r="AB17" s="138">
        <v>1</v>
      </c>
      <c r="AC17" s="143"/>
      <c r="AD17" s="141">
        <v>1</v>
      </c>
      <c r="AE17" s="138">
        <v>1</v>
      </c>
      <c r="AF17" s="138">
        <v>1</v>
      </c>
      <c r="AG17" s="138">
        <v>1</v>
      </c>
      <c r="AH17" s="138">
        <v>1</v>
      </c>
      <c r="AI17" s="138">
        <v>1</v>
      </c>
      <c r="AJ17" s="112">
        <f t="shared" ref="AJ17:AJ32" si="3">SUM(E17:AI17)-AK17</f>
        <v>27</v>
      </c>
      <c r="AK17" s="112">
        <f t="shared" si="1"/>
        <v>0</v>
      </c>
      <c r="AL17" s="112">
        <f t="shared" ref="AL17:AL32" si="4">COUNTIF(E17:AI17,"P")</f>
        <v>0</v>
      </c>
      <c r="AM17" s="112">
        <f t="shared" ref="AM17:AM32" si="5">COUNTIF(E17:AI17,"LT")</f>
        <v>0</v>
      </c>
      <c r="AN17" s="140">
        <v>1</v>
      </c>
      <c r="AO17" s="140"/>
      <c r="AP17" s="140"/>
      <c r="AQ17" s="139">
        <v>8</v>
      </c>
      <c r="AR17" s="140"/>
      <c r="AS17" s="140">
        <v>1</v>
      </c>
      <c r="AT17" s="140"/>
      <c r="AU17" s="140"/>
      <c r="AV17" s="140"/>
      <c r="AW17" s="140"/>
      <c r="AX17" s="139">
        <v>8</v>
      </c>
      <c r="AY17" s="140">
        <v>1</v>
      </c>
      <c r="AZ17" s="140">
        <v>1</v>
      </c>
      <c r="BA17" s="140">
        <v>1</v>
      </c>
      <c r="BB17" s="140"/>
      <c r="BC17" s="140"/>
      <c r="BD17" s="140"/>
      <c r="BE17" s="139">
        <v>8</v>
      </c>
      <c r="BF17" s="140">
        <v>1</v>
      </c>
      <c r="BG17" s="140"/>
      <c r="BH17" s="140"/>
      <c r="BI17" s="140"/>
      <c r="BJ17" s="140"/>
      <c r="BK17" s="140"/>
      <c r="BL17" s="139">
        <v>8</v>
      </c>
      <c r="BM17" s="140"/>
      <c r="BN17" s="140"/>
      <c r="BO17" s="138">
        <v>1.5</v>
      </c>
      <c r="BP17" s="140"/>
      <c r="BQ17" s="140"/>
      <c r="BR17" s="140"/>
      <c r="BS17" s="112">
        <f t="shared" si="0"/>
        <v>7.5</v>
      </c>
      <c r="BT17" s="112">
        <f t="shared" si="2"/>
        <v>32</v>
      </c>
    </row>
    <row r="18" spans="1:72" ht="16.5" x14ac:dyDescent="0.25">
      <c r="A18" s="3">
        <v>52</v>
      </c>
      <c r="B18" s="3" t="str">
        <f>'Bang luong'!B19</f>
        <v>NV54</v>
      </c>
      <c r="C18" s="3" t="str">
        <f>VLOOKUP(B18,'Bang luong'!$B$5:$C$58,2,0)</f>
        <v>Đào Công Thắng</v>
      </c>
      <c r="D18" s="3" t="str">
        <f>VLOOKUP(B18,'Bang luong'!$B$5:$D$99,3,0)</f>
        <v>QL xe cơ giới</v>
      </c>
      <c r="E18" s="138">
        <v>1</v>
      </c>
      <c r="F18" s="138">
        <v>1</v>
      </c>
      <c r="G18" s="138" t="s">
        <v>506</v>
      </c>
      <c r="H18" s="143"/>
      <c r="I18" s="138" t="s">
        <v>506</v>
      </c>
      <c r="J18" s="138" t="s">
        <v>506</v>
      </c>
      <c r="K18" s="138" t="s">
        <v>506</v>
      </c>
      <c r="L18" s="138">
        <v>1</v>
      </c>
      <c r="M18" s="138">
        <v>1</v>
      </c>
      <c r="N18" s="138">
        <v>1</v>
      </c>
      <c r="O18" s="143"/>
      <c r="P18" s="138">
        <v>1</v>
      </c>
      <c r="Q18" s="138">
        <v>1</v>
      </c>
      <c r="R18" s="138">
        <v>1</v>
      </c>
      <c r="S18" s="138">
        <v>1</v>
      </c>
      <c r="T18" s="138">
        <v>1</v>
      </c>
      <c r="U18" s="138">
        <v>1</v>
      </c>
      <c r="V18" s="143"/>
      <c r="W18" s="138">
        <v>1</v>
      </c>
      <c r="X18" s="138">
        <v>1</v>
      </c>
      <c r="Y18" s="138">
        <v>1</v>
      </c>
      <c r="Z18" s="138">
        <v>1</v>
      </c>
      <c r="AA18" s="138">
        <v>1</v>
      </c>
      <c r="AB18" s="138">
        <v>1</v>
      </c>
      <c r="AC18" s="143"/>
      <c r="AD18" s="138">
        <v>1</v>
      </c>
      <c r="AE18" s="138">
        <v>1</v>
      </c>
      <c r="AF18" s="138">
        <v>1</v>
      </c>
      <c r="AG18" s="138">
        <v>1</v>
      </c>
      <c r="AH18" s="138">
        <v>1</v>
      </c>
      <c r="AI18" s="138">
        <v>1</v>
      </c>
      <c r="AJ18" s="112">
        <f t="shared" si="3"/>
        <v>23</v>
      </c>
      <c r="AK18" s="112">
        <f t="shared" si="1"/>
        <v>0</v>
      </c>
      <c r="AL18" s="112">
        <f t="shared" si="4"/>
        <v>4</v>
      </c>
      <c r="AM18" s="112">
        <f t="shared" si="5"/>
        <v>0</v>
      </c>
      <c r="AN18" s="140">
        <v>1</v>
      </c>
      <c r="AO18" s="140"/>
      <c r="AP18" s="140"/>
      <c r="AQ18" s="139">
        <v>8</v>
      </c>
      <c r="AR18" s="140"/>
      <c r="AS18" s="140"/>
      <c r="AT18" s="140"/>
      <c r="AU18" s="140"/>
      <c r="AV18" s="140"/>
      <c r="AW18" s="140"/>
      <c r="AX18" s="139">
        <v>8</v>
      </c>
      <c r="AY18" s="140">
        <v>1</v>
      </c>
      <c r="AZ18" s="140">
        <v>1</v>
      </c>
      <c r="BA18" s="140">
        <v>1</v>
      </c>
      <c r="BB18" s="140"/>
      <c r="BC18" s="140"/>
      <c r="BD18" s="140"/>
      <c r="BE18" s="139">
        <v>8</v>
      </c>
      <c r="BF18" s="140"/>
      <c r="BG18" s="140"/>
      <c r="BH18" s="140"/>
      <c r="BI18" s="140"/>
      <c r="BJ18" s="140"/>
      <c r="BK18" s="140"/>
      <c r="BL18" s="139">
        <v>8</v>
      </c>
      <c r="BM18" s="140"/>
      <c r="BN18" s="140"/>
      <c r="BO18" s="138">
        <v>1.5</v>
      </c>
      <c r="BP18" s="140"/>
      <c r="BQ18" s="140"/>
      <c r="BR18" s="140"/>
      <c r="BS18" s="112">
        <f t="shared" si="0"/>
        <v>5.5</v>
      </c>
      <c r="BT18" s="112">
        <f t="shared" si="2"/>
        <v>32</v>
      </c>
    </row>
    <row r="19" spans="1:72" ht="16.5" x14ac:dyDescent="0.25">
      <c r="A19" s="3">
        <v>53</v>
      </c>
      <c r="B19" s="3" t="e">
        <f>'Bang luong'!#REF!</f>
        <v>#REF!</v>
      </c>
      <c r="C19" s="3" t="e">
        <f>VLOOKUP(B19,'Bang luong'!$B$5:$C$58,2,0)</f>
        <v>#REF!</v>
      </c>
      <c r="D19" s="3" t="e">
        <f>VLOOKUP(B19,'Bang luong'!$B$5:$D$99,3,0)</f>
        <v>#REF!</v>
      </c>
      <c r="E19" s="138">
        <v>1</v>
      </c>
      <c r="F19" s="138">
        <v>1</v>
      </c>
      <c r="G19" s="138">
        <v>1</v>
      </c>
      <c r="H19" s="143"/>
      <c r="I19" s="138">
        <v>1</v>
      </c>
      <c r="J19" s="138">
        <v>1</v>
      </c>
      <c r="K19" s="138">
        <v>1</v>
      </c>
      <c r="L19" s="138">
        <v>1</v>
      </c>
      <c r="M19" s="138">
        <v>1</v>
      </c>
      <c r="N19" s="138">
        <v>1</v>
      </c>
      <c r="O19" s="143"/>
      <c r="P19" s="138">
        <v>1</v>
      </c>
      <c r="Q19" s="138">
        <v>1</v>
      </c>
      <c r="R19" s="138">
        <v>0</v>
      </c>
      <c r="S19" s="138">
        <v>1</v>
      </c>
      <c r="T19" s="138">
        <v>1</v>
      </c>
      <c r="U19" s="138">
        <v>1</v>
      </c>
      <c r="V19" s="143"/>
      <c r="W19" s="138">
        <v>1</v>
      </c>
      <c r="X19" s="138">
        <v>1</v>
      </c>
      <c r="Y19" s="138">
        <v>1</v>
      </c>
      <c r="Z19" s="138">
        <v>1</v>
      </c>
      <c r="AA19" s="138">
        <v>1</v>
      </c>
      <c r="AB19" s="138">
        <v>1</v>
      </c>
      <c r="AC19" s="143"/>
      <c r="AD19" s="141">
        <v>1</v>
      </c>
      <c r="AE19" s="138">
        <v>1</v>
      </c>
      <c r="AF19" s="138">
        <v>1</v>
      </c>
      <c r="AG19" s="138">
        <v>1</v>
      </c>
      <c r="AH19" s="138">
        <v>1</v>
      </c>
      <c r="AI19" s="138">
        <v>0.5</v>
      </c>
      <c r="AJ19" s="112">
        <f t="shared" si="3"/>
        <v>25.5</v>
      </c>
      <c r="AK19" s="112">
        <f t="shared" si="1"/>
        <v>0</v>
      </c>
      <c r="AL19" s="112">
        <f t="shared" si="4"/>
        <v>0</v>
      </c>
      <c r="AM19" s="112">
        <f t="shared" si="5"/>
        <v>0</v>
      </c>
      <c r="AN19" s="140"/>
      <c r="AO19" s="140"/>
      <c r="AP19" s="140"/>
      <c r="AQ19" s="139">
        <v>8</v>
      </c>
      <c r="AR19" s="140"/>
      <c r="AS19" s="140"/>
      <c r="AT19" s="140"/>
      <c r="AU19" s="140"/>
      <c r="AV19" s="140"/>
      <c r="AW19" s="140"/>
      <c r="AX19" s="139"/>
      <c r="AY19" s="140"/>
      <c r="AZ19" s="140"/>
      <c r="BA19" s="140"/>
      <c r="BB19" s="140">
        <v>1</v>
      </c>
      <c r="BC19" s="140"/>
      <c r="BD19" s="140"/>
      <c r="BE19" s="139"/>
      <c r="BF19" s="140"/>
      <c r="BG19" s="140"/>
      <c r="BH19" s="140"/>
      <c r="BI19" s="140"/>
      <c r="BJ19" s="140"/>
      <c r="BK19" s="140"/>
      <c r="BL19" s="139"/>
      <c r="BM19" s="140"/>
      <c r="BN19" s="140"/>
      <c r="BO19" s="140"/>
      <c r="BP19" s="140"/>
      <c r="BQ19" s="140"/>
      <c r="BR19" s="140"/>
      <c r="BS19" s="112">
        <f t="shared" si="0"/>
        <v>1</v>
      </c>
      <c r="BT19" s="112">
        <f t="shared" si="2"/>
        <v>8</v>
      </c>
    </row>
    <row r="20" spans="1:72" ht="16.5" x14ac:dyDescent="0.25">
      <c r="A20" s="3">
        <v>54</v>
      </c>
      <c r="B20" s="3" t="str">
        <f>'Bang luong'!B20</f>
        <v>NV56</v>
      </c>
      <c r="C20" s="3" t="str">
        <f>VLOOKUP(B20,'Bang luong'!$B$5:$C$58,2,0)</f>
        <v>Chung Văn Hiệp</v>
      </c>
      <c r="D20" s="3" t="str">
        <f>VLOOKUP(B20,'Bang luong'!$B$5:$D$99,3,0)</f>
        <v>Lái xe cơ giới</v>
      </c>
      <c r="E20" s="138">
        <v>1</v>
      </c>
      <c r="F20" s="138">
        <v>1</v>
      </c>
      <c r="G20" s="138">
        <v>1</v>
      </c>
      <c r="H20" s="143"/>
      <c r="I20" s="138">
        <v>1</v>
      </c>
      <c r="J20" s="138">
        <v>0</v>
      </c>
      <c r="K20" s="138">
        <v>0.5</v>
      </c>
      <c r="L20" s="138">
        <v>1</v>
      </c>
      <c r="M20" s="138">
        <v>1</v>
      </c>
      <c r="N20" s="138">
        <v>1</v>
      </c>
      <c r="O20" s="143"/>
      <c r="P20" s="138">
        <v>1</v>
      </c>
      <c r="Q20" s="138">
        <v>1</v>
      </c>
      <c r="R20" s="138">
        <v>1</v>
      </c>
      <c r="S20" s="138">
        <v>1</v>
      </c>
      <c r="T20" s="138">
        <v>1</v>
      </c>
      <c r="U20" s="138">
        <v>1</v>
      </c>
      <c r="V20" s="143"/>
      <c r="W20" s="138">
        <v>1</v>
      </c>
      <c r="X20" s="138">
        <v>1</v>
      </c>
      <c r="Y20" s="138">
        <v>1</v>
      </c>
      <c r="Z20" s="138" t="s">
        <v>506</v>
      </c>
      <c r="AA20" s="138" t="s">
        <v>506</v>
      </c>
      <c r="AB20" s="138" t="s">
        <v>506</v>
      </c>
      <c r="AC20" s="143"/>
      <c r="AD20" s="138" t="s">
        <v>506</v>
      </c>
      <c r="AE20" s="138" t="s">
        <v>506</v>
      </c>
      <c r="AF20" s="138">
        <v>1</v>
      </c>
      <c r="AG20" s="138">
        <v>1</v>
      </c>
      <c r="AH20" s="138">
        <v>1</v>
      </c>
      <c r="AI20" s="138">
        <v>1</v>
      </c>
      <c r="AJ20" s="112">
        <f t="shared" si="3"/>
        <v>20.5</v>
      </c>
      <c r="AK20" s="112">
        <f t="shared" si="1"/>
        <v>0</v>
      </c>
      <c r="AL20" s="112">
        <f t="shared" si="4"/>
        <v>5</v>
      </c>
      <c r="AM20" s="112">
        <f t="shared" si="5"/>
        <v>0</v>
      </c>
      <c r="AN20" s="140"/>
      <c r="AO20" s="140"/>
      <c r="AP20" s="140"/>
      <c r="AQ20" s="139">
        <v>8</v>
      </c>
      <c r="AR20" s="140"/>
      <c r="AS20" s="140"/>
      <c r="AT20" s="140"/>
      <c r="AU20" s="140"/>
      <c r="AV20" s="140"/>
      <c r="AW20" s="140"/>
      <c r="AX20" s="139">
        <v>8</v>
      </c>
      <c r="AY20" s="140"/>
      <c r="AZ20" s="140"/>
      <c r="BA20" s="140"/>
      <c r="BB20" s="140"/>
      <c r="BC20" s="140"/>
      <c r="BD20" s="140"/>
      <c r="BE20" s="139">
        <v>8</v>
      </c>
      <c r="BF20" s="140"/>
      <c r="BG20" s="140"/>
      <c r="BH20" s="140"/>
      <c r="BI20" s="140"/>
      <c r="BJ20" s="140"/>
      <c r="BK20" s="140"/>
      <c r="BL20" s="139"/>
      <c r="BM20" s="140"/>
      <c r="BN20" s="140"/>
      <c r="BO20" s="140"/>
      <c r="BP20" s="140"/>
      <c r="BQ20" s="140"/>
      <c r="BR20" s="140"/>
      <c r="BS20" s="112">
        <f t="shared" si="0"/>
        <v>0</v>
      </c>
      <c r="BT20" s="112">
        <f t="shared" si="2"/>
        <v>24</v>
      </c>
    </row>
    <row r="21" spans="1:72" ht="16.5" x14ac:dyDescent="0.25">
      <c r="A21" s="3">
        <v>55</v>
      </c>
      <c r="B21" s="3" t="str">
        <f>'Bang luong'!B21</f>
        <v>NV57</v>
      </c>
      <c r="C21" s="3" t="str">
        <f>VLOOKUP(B21,'Bang luong'!$B$5:$C$58,2,0)</f>
        <v>Lê Tấn Phát</v>
      </c>
      <c r="D21" s="3" t="str">
        <f>VLOOKUP(B21,'Bang luong'!$B$5:$D$99,3,0)</f>
        <v>Lái xe cơ giới</v>
      </c>
      <c r="E21" s="138">
        <v>1</v>
      </c>
      <c r="F21" s="138">
        <v>1</v>
      </c>
      <c r="G21" s="138">
        <v>1</v>
      </c>
      <c r="H21" s="143"/>
      <c r="I21" s="138">
        <v>1</v>
      </c>
      <c r="J21" s="138">
        <v>1</v>
      </c>
      <c r="K21" s="138">
        <v>1</v>
      </c>
      <c r="L21" s="138">
        <v>1</v>
      </c>
      <c r="M21" s="138">
        <v>1</v>
      </c>
      <c r="N21" s="138">
        <v>1</v>
      </c>
      <c r="O21" s="143"/>
      <c r="P21" s="138">
        <v>1</v>
      </c>
      <c r="Q21" s="138">
        <v>1</v>
      </c>
      <c r="R21" s="138">
        <v>1</v>
      </c>
      <c r="S21" s="138">
        <v>1</v>
      </c>
      <c r="T21" s="138">
        <v>1</v>
      </c>
      <c r="U21" s="138">
        <v>1</v>
      </c>
      <c r="V21" s="143"/>
      <c r="W21" s="138">
        <v>1</v>
      </c>
      <c r="X21" s="138">
        <v>1</v>
      </c>
      <c r="Y21" s="138">
        <v>1</v>
      </c>
      <c r="Z21" s="138">
        <v>1</v>
      </c>
      <c r="AA21" s="138">
        <v>1</v>
      </c>
      <c r="AB21" s="138">
        <v>0</v>
      </c>
      <c r="AC21" s="143"/>
      <c r="AD21" s="141">
        <v>1</v>
      </c>
      <c r="AE21" s="138">
        <v>1</v>
      </c>
      <c r="AF21" s="138">
        <v>1</v>
      </c>
      <c r="AG21" s="138">
        <v>1</v>
      </c>
      <c r="AH21" s="138">
        <v>1</v>
      </c>
      <c r="AI21" s="138">
        <v>1</v>
      </c>
      <c r="AJ21" s="112">
        <f t="shared" si="3"/>
        <v>26</v>
      </c>
      <c r="AK21" s="112">
        <f t="shared" si="1"/>
        <v>0</v>
      </c>
      <c r="AL21" s="112">
        <f t="shared" si="4"/>
        <v>0</v>
      </c>
      <c r="AM21" s="112">
        <f t="shared" si="5"/>
        <v>0</v>
      </c>
      <c r="AN21" s="140">
        <v>1</v>
      </c>
      <c r="AO21" s="140"/>
      <c r="AP21" s="140"/>
      <c r="AQ21" s="139">
        <v>8</v>
      </c>
      <c r="AR21" s="140"/>
      <c r="AS21" s="140">
        <v>1</v>
      </c>
      <c r="AT21" s="140"/>
      <c r="AU21" s="140">
        <v>1</v>
      </c>
      <c r="AV21" s="140"/>
      <c r="AW21" s="140"/>
      <c r="AX21" s="139">
        <v>8</v>
      </c>
      <c r="AY21" s="140">
        <v>1</v>
      </c>
      <c r="AZ21" s="140">
        <v>1</v>
      </c>
      <c r="BA21" s="140">
        <v>1</v>
      </c>
      <c r="BB21" s="140">
        <v>1</v>
      </c>
      <c r="BC21" s="140">
        <v>1</v>
      </c>
      <c r="BD21" s="140"/>
      <c r="BE21" s="139"/>
      <c r="BF21" s="140">
        <v>1</v>
      </c>
      <c r="BG21" s="140"/>
      <c r="BH21" s="140"/>
      <c r="BI21" s="140">
        <v>1</v>
      </c>
      <c r="BJ21" s="140">
        <v>1</v>
      </c>
      <c r="BK21" s="140"/>
      <c r="BL21" s="139">
        <v>8</v>
      </c>
      <c r="BM21" s="140"/>
      <c r="BN21" s="140"/>
      <c r="BO21" s="140"/>
      <c r="BP21" s="140"/>
      <c r="BQ21" s="140"/>
      <c r="BR21" s="140"/>
      <c r="BS21" s="112">
        <f t="shared" si="0"/>
        <v>11</v>
      </c>
      <c r="BT21" s="112">
        <f t="shared" si="2"/>
        <v>24</v>
      </c>
    </row>
    <row r="22" spans="1:72" ht="16.5" x14ac:dyDescent="0.25">
      <c r="A22" s="3">
        <v>56</v>
      </c>
      <c r="B22" s="3" t="str">
        <f>'Bang luong'!B22</f>
        <v>NV58</v>
      </c>
      <c r="C22" s="3" t="str">
        <f>VLOOKUP(B22,'Bang luong'!$B$5:$C$58,2,0)</f>
        <v>Triệu Minh Tú</v>
      </c>
      <c r="D22" s="3" t="str">
        <f>VLOOKUP(B22,'Bang luong'!$B$5:$D$99,3,0)</f>
        <v>Lái xe cơ giới</v>
      </c>
      <c r="E22" s="138">
        <v>1</v>
      </c>
      <c r="F22" s="138">
        <v>1</v>
      </c>
      <c r="G22" s="138">
        <v>1</v>
      </c>
      <c r="H22" s="143"/>
      <c r="I22" s="138">
        <v>1</v>
      </c>
      <c r="J22" s="138">
        <v>1</v>
      </c>
      <c r="K22" s="138">
        <v>1</v>
      </c>
      <c r="L22" s="138">
        <v>1</v>
      </c>
      <c r="M22" s="138">
        <v>1</v>
      </c>
      <c r="N22" s="138">
        <v>1</v>
      </c>
      <c r="O22" s="143"/>
      <c r="P22" s="138">
        <v>0</v>
      </c>
      <c r="Q22" s="138">
        <v>1</v>
      </c>
      <c r="R22" s="138">
        <v>1</v>
      </c>
      <c r="S22" s="138">
        <v>1</v>
      </c>
      <c r="T22" s="138">
        <v>1</v>
      </c>
      <c r="U22" s="138">
        <v>1</v>
      </c>
      <c r="V22" s="143"/>
      <c r="W22" s="138">
        <v>1</v>
      </c>
      <c r="X22" s="138">
        <v>1</v>
      </c>
      <c r="Y22" s="138">
        <v>1</v>
      </c>
      <c r="Z22" s="138">
        <v>1</v>
      </c>
      <c r="AA22" s="138">
        <v>1</v>
      </c>
      <c r="AB22" s="138">
        <v>1</v>
      </c>
      <c r="AC22" s="143"/>
      <c r="AD22" s="141">
        <v>0</v>
      </c>
      <c r="AE22" s="138">
        <v>0</v>
      </c>
      <c r="AF22" s="138">
        <v>1</v>
      </c>
      <c r="AG22" s="138">
        <v>1</v>
      </c>
      <c r="AH22" s="138">
        <v>1</v>
      </c>
      <c r="AI22" s="138">
        <v>1</v>
      </c>
      <c r="AJ22" s="112">
        <f t="shared" si="3"/>
        <v>24</v>
      </c>
      <c r="AK22" s="112">
        <f t="shared" si="1"/>
        <v>0</v>
      </c>
      <c r="AL22" s="112">
        <f t="shared" si="4"/>
        <v>0</v>
      </c>
      <c r="AM22" s="112">
        <f t="shared" si="5"/>
        <v>0</v>
      </c>
      <c r="AN22" s="153"/>
      <c r="AO22" s="153"/>
      <c r="AP22" s="153"/>
      <c r="AQ22" s="139">
        <v>8</v>
      </c>
      <c r="AR22" s="153"/>
      <c r="AS22" s="153"/>
      <c r="AT22" s="153"/>
      <c r="AU22" s="153"/>
      <c r="AV22" s="153"/>
      <c r="AW22" s="153"/>
      <c r="AX22" s="139">
        <v>8</v>
      </c>
      <c r="AY22" s="153"/>
      <c r="AZ22" s="153"/>
      <c r="BA22" s="153"/>
      <c r="BB22" s="153"/>
      <c r="BC22" s="153"/>
      <c r="BD22" s="153"/>
      <c r="BE22" s="139"/>
      <c r="BF22" s="153"/>
      <c r="BG22" s="153"/>
      <c r="BH22" s="153"/>
      <c r="BI22" s="153"/>
      <c r="BJ22" s="153"/>
      <c r="BK22" s="153"/>
      <c r="BL22" s="139"/>
      <c r="BM22" s="153"/>
      <c r="BN22" s="153"/>
      <c r="BO22" s="153"/>
      <c r="BP22" s="153"/>
      <c r="BQ22" s="153"/>
      <c r="BR22" s="153"/>
      <c r="BS22" s="112">
        <f t="shared" si="0"/>
        <v>0</v>
      </c>
      <c r="BT22" s="112">
        <f t="shared" si="2"/>
        <v>16</v>
      </c>
    </row>
    <row r="23" spans="1:72" ht="16.5" x14ac:dyDescent="0.25">
      <c r="A23" s="3">
        <v>57</v>
      </c>
      <c r="B23" s="3" t="str">
        <f>'Bang luong'!B23</f>
        <v>NV59</v>
      </c>
      <c r="C23" s="3" t="str">
        <f>VLOOKUP(B23,'Bang luong'!$B$5:$C$58,2,0)</f>
        <v>Triệu Minh Thắng</v>
      </c>
      <c r="D23" s="3" t="str">
        <f>VLOOKUP(B23,'Bang luong'!$B$5:$D$99,3,0)</f>
        <v>Lái xe cơ giới</v>
      </c>
      <c r="E23" s="138" t="s">
        <v>506</v>
      </c>
      <c r="F23" s="138">
        <v>1</v>
      </c>
      <c r="G23" s="138">
        <v>1</v>
      </c>
      <c r="H23" s="143"/>
      <c r="I23" s="138">
        <v>1</v>
      </c>
      <c r="J23" s="138">
        <v>1</v>
      </c>
      <c r="K23" s="138">
        <v>1</v>
      </c>
      <c r="L23" s="138">
        <v>1</v>
      </c>
      <c r="M23" s="138">
        <v>1</v>
      </c>
      <c r="N23" s="138">
        <v>1</v>
      </c>
      <c r="O23" s="143"/>
      <c r="P23" s="138">
        <v>1</v>
      </c>
      <c r="Q23" s="138">
        <v>1</v>
      </c>
      <c r="R23" s="138">
        <v>1</v>
      </c>
      <c r="S23" s="138">
        <v>1</v>
      </c>
      <c r="T23" s="138">
        <v>1</v>
      </c>
      <c r="U23" s="138">
        <v>1</v>
      </c>
      <c r="V23" s="143"/>
      <c r="W23" s="138">
        <v>0</v>
      </c>
      <c r="X23" s="138">
        <v>1</v>
      </c>
      <c r="Y23" s="138">
        <v>1</v>
      </c>
      <c r="Z23" s="138">
        <v>1</v>
      </c>
      <c r="AA23" s="138">
        <v>1</v>
      </c>
      <c r="AB23" s="138">
        <v>1</v>
      </c>
      <c r="AC23" s="143"/>
      <c r="AD23" s="141">
        <v>1</v>
      </c>
      <c r="AE23" s="138">
        <v>1</v>
      </c>
      <c r="AF23" s="138">
        <v>1</v>
      </c>
      <c r="AG23" s="138">
        <v>1</v>
      </c>
      <c r="AH23" s="138">
        <v>1</v>
      </c>
      <c r="AI23" s="138">
        <v>1</v>
      </c>
      <c r="AJ23" s="112">
        <f t="shared" si="3"/>
        <v>25</v>
      </c>
      <c r="AK23" s="112">
        <f t="shared" si="1"/>
        <v>0</v>
      </c>
      <c r="AL23" s="112">
        <f t="shared" si="4"/>
        <v>1</v>
      </c>
      <c r="AM23" s="112">
        <f t="shared" si="5"/>
        <v>0</v>
      </c>
      <c r="AN23" s="153"/>
      <c r="AO23" s="153"/>
      <c r="AP23" s="153"/>
      <c r="AQ23" s="139">
        <v>8</v>
      </c>
      <c r="AR23" s="153"/>
      <c r="AS23" s="153"/>
      <c r="AT23" s="153"/>
      <c r="AU23" s="153"/>
      <c r="AV23" s="153"/>
      <c r="AW23" s="153"/>
      <c r="AX23" s="139"/>
      <c r="AY23" s="153">
        <v>1</v>
      </c>
      <c r="AZ23" s="153">
        <v>1</v>
      </c>
      <c r="BA23" s="153"/>
      <c r="BB23" s="153">
        <v>1</v>
      </c>
      <c r="BC23" s="153">
        <v>1</v>
      </c>
      <c r="BD23" s="153"/>
      <c r="BE23" s="139">
        <v>8</v>
      </c>
      <c r="BF23" s="153"/>
      <c r="BG23" s="153"/>
      <c r="BH23" s="153"/>
      <c r="BI23" s="153">
        <v>1</v>
      </c>
      <c r="BJ23" s="153">
        <v>1</v>
      </c>
      <c r="BK23" s="153"/>
      <c r="BL23" s="139">
        <v>8</v>
      </c>
      <c r="BM23" s="153"/>
      <c r="BN23" s="153"/>
      <c r="BO23" s="153"/>
      <c r="BP23" s="153"/>
      <c r="BQ23" s="153"/>
      <c r="BR23" s="153"/>
      <c r="BS23" s="112">
        <f t="shared" si="0"/>
        <v>6</v>
      </c>
      <c r="BT23" s="112">
        <f t="shared" si="2"/>
        <v>24</v>
      </c>
    </row>
    <row r="24" spans="1:72" ht="16.5" x14ac:dyDescent="0.25">
      <c r="A24" s="3">
        <v>58</v>
      </c>
      <c r="B24" s="3" t="str">
        <f>'Bang luong'!B24</f>
        <v>NV60</v>
      </c>
      <c r="C24" s="3" t="str">
        <f>VLOOKUP(B24,'Bang luong'!$B$5:$C$58,2,0)</f>
        <v>Thạch Giàu</v>
      </c>
      <c r="D24" s="3" t="str">
        <f>VLOOKUP(B24,'Bang luong'!$B$5:$D$99,3,0)</f>
        <v>Lái xe cơ giới</v>
      </c>
      <c r="E24" s="138">
        <v>1</v>
      </c>
      <c r="F24" s="138">
        <v>1</v>
      </c>
      <c r="G24" s="138">
        <v>1</v>
      </c>
      <c r="H24" s="143"/>
      <c r="I24" s="138">
        <v>1</v>
      </c>
      <c r="J24" s="138">
        <v>1</v>
      </c>
      <c r="K24" s="138">
        <v>1</v>
      </c>
      <c r="L24" s="138">
        <v>1</v>
      </c>
      <c r="M24" s="138">
        <v>1</v>
      </c>
      <c r="N24" s="138">
        <v>0.5</v>
      </c>
      <c r="O24" s="143"/>
      <c r="P24" s="138">
        <v>1</v>
      </c>
      <c r="Q24" s="138">
        <v>1</v>
      </c>
      <c r="R24" s="138">
        <v>1</v>
      </c>
      <c r="S24" s="138">
        <v>1</v>
      </c>
      <c r="T24" s="138">
        <v>1</v>
      </c>
      <c r="U24" s="138">
        <v>1</v>
      </c>
      <c r="V24" s="143"/>
      <c r="W24" s="138">
        <v>1</v>
      </c>
      <c r="X24" s="138">
        <v>1</v>
      </c>
      <c r="Y24" s="138">
        <v>1</v>
      </c>
      <c r="Z24" s="138">
        <v>1</v>
      </c>
      <c r="AA24" s="138">
        <v>1</v>
      </c>
      <c r="AB24" s="138">
        <v>1</v>
      </c>
      <c r="AC24" s="143"/>
      <c r="AD24" s="141">
        <v>1</v>
      </c>
      <c r="AE24" s="138" t="s">
        <v>506</v>
      </c>
      <c r="AF24" s="138" t="s">
        <v>506</v>
      </c>
      <c r="AG24" s="138">
        <v>1</v>
      </c>
      <c r="AH24" s="138">
        <v>1</v>
      </c>
      <c r="AI24" s="138">
        <v>1</v>
      </c>
      <c r="AJ24" s="112">
        <f t="shared" si="3"/>
        <v>24.5</v>
      </c>
      <c r="AK24" s="112">
        <f t="shared" si="1"/>
        <v>0</v>
      </c>
      <c r="AL24" s="112">
        <f t="shared" si="4"/>
        <v>2</v>
      </c>
      <c r="AM24" s="112">
        <f t="shared" si="5"/>
        <v>0</v>
      </c>
      <c r="AN24" s="153">
        <v>1</v>
      </c>
      <c r="AO24" s="153"/>
      <c r="AP24" s="153"/>
      <c r="AQ24" s="139">
        <v>8</v>
      </c>
      <c r="AR24" s="153"/>
      <c r="AS24" s="153">
        <v>1</v>
      </c>
      <c r="AT24" s="153"/>
      <c r="AU24" s="153">
        <v>1</v>
      </c>
      <c r="AV24" s="153">
        <v>1</v>
      </c>
      <c r="AW24" s="153"/>
      <c r="AX24" s="139"/>
      <c r="AY24" s="153">
        <v>1</v>
      </c>
      <c r="AZ24" s="153">
        <v>1</v>
      </c>
      <c r="BA24" s="153">
        <v>1</v>
      </c>
      <c r="BB24" s="153">
        <v>1</v>
      </c>
      <c r="BC24" s="153">
        <v>1</v>
      </c>
      <c r="BD24" s="153"/>
      <c r="BE24" s="139">
        <v>8</v>
      </c>
      <c r="BF24" s="153">
        <v>1</v>
      </c>
      <c r="BG24" s="153"/>
      <c r="BH24" s="153"/>
      <c r="BI24" s="153">
        <v>1</v>
      </c>
      <c r="BJ24" s="153">
        <v>1</v>
      </c>
      <c r="BK24" s="153"/>
      <c r="BL24" s="139">
        <v>8</v>
      </c>
      <c r="BM24" s="153"/>
      <c r="BN24" s="153"/>
      <c r="BO24" s="153"/>
      <c r="BP24" s="153"/>
      <c r="BQ24" s="153"/>
      <c r="BR24" s="153"/>
      <c r="BS24" s="112">
        <f t="shared" si="0"/>
        <v>12</v>
      </c>
      <c r="BT24" s="112">
        <f t="shared" si="2"/>
        <v>24</v>
      </c>
    </row>
    <row r="25" spans="1:72" ht="16.5" x14ac:dyDescent="0.25">
      <c r="A25" s="3">
        <v>59</v>
      </c>
      <c r="B25" s="3" t="str">
        <f>'Bang luong'!B25</f>
        <v>NV61</v>
      </c>
      <c r="C25" s="3" t="str">
        <f>VLOOKUP(B25,'Bang luong'!$B$5:$C$58,2,0)</f>
        <v>Nguyễn Quốc Việt</v>
      </c>
      <c r="D25" s="3" t="str">
        <f>VLOOKUP(B25,'Bang luong'!$B$5:$D$99,3,0)</f>
        <v>Lái xe cơ giới</v>
      </c>
      <c r="E25" s="138">
        <v>1</v>
      </c>
      <c r="F25" s="138">
        <v>1</v>
      </c>
      <c r="G25" s="138">
        <v>1</v>
      </c>
      <c r="H25" s="143"/>
      <c r="I25" s="138">
        <v>1</v>
      </c>
      <c r="J25" s="138">
        <v>1</v>
      </c>
      <c r="K25" s="138">
        <v>0</v>
      </c>
      <c r="L25" s="138">
        <v>1</v>
      </c>
      <c r="M25" s="138">
        <v>1</v>
      </c>
      <c r="N25" s="138">
        <v>1</v>
      </c>
      <c r="O25" s="143"/>
      <c r="P25" s="138">
        <v>1</v>
      </c>
      <c r="Q25" s="138">
        <v>1</v>
      </c>
      <c r="R25" s="138">
        <v>1</v>
      </c>
      <c r="S25" s="138">
        <v>1</v>
      </c>
      <c r="T25" s="138">
        <v>1</v>
      </c>
      <c r="U25" s="138">
        <v>1</v>
      </c>
      <c r="V25" s="143"/>
      <c r="W25" s="138">
        <v>1</v>
      </c>
      <c r="X25" s="138">
        <v>1</v>
      </c>
      <c r="Y25" s="138">
        <v>0.5</v>
      </c>
      <c r="Z25" s="138">
        <v>1</v>
      </c>
      <c r="AA25" s="138">
        <v>1</v>
      </c>
      <c r="AB25" s="138">
        <v>1</v>
      </c>
      <c r="AC25" s="143"/>
      <c r="AD25" s="141">
        <v>1</v>
      </c>
      <c r="AE25" s="138">
        <v>1</v>
      </c>
      <c r="AF25" s="138">
        <v>1</v>
      </c>
      <c r="AG25" s="138">
        <v>1</v>
      </c>
      <c r="AH25" s="138">
        <v>1</v>
      </c>
      <c r="AI25" s="138">
        <v>1</v>
      </c>
      <c r="AJ25" s="112">
        <f t="shared" si="3"/>
        <v>25.5</v>
      </c>
      <c r="AK25" s="112">
        <f t="shared" si="1"/>
        <v>0</v>
      </c>
      <c r="AL25" s="112">
        <f t="shared" si="4"/>
        <v>0</v>
      </c>
      <c r="AM25" s="112">
        <f t="shared" si="5"/>
        <v>0</v>
      </c>
      <c r="AN25" s="153"/>
      <c r="AO25" s="153"/>
      <c r="AP25" s="153"/>
      <c r="AQ25" s="139">
        <v>8</v>
      </c>
      <c r="AR25" s="153"/>
      <c r="AS25" s="153">
        <v>1</v>
      </c>
      <c r="AT25" s="153"/>
      <c r="AU25" s="153">
        <v>1</v>
      </c>
      <c r="AV25" s="153">
        <v>1</v>
      </c>
      <c r="AW25" s="153"/>
      <c r="AX25" s="139">
        <v>8</v>
      </c>
      <c r="AY25" s="153">
        <v>1</v>
      </c>
      <c r="AZ25" s="153">
        <v>1</v>
      </c>
      <c r="BA25" s="153">
        <v>1</v>
      </c>
      <c r="BB25" s="153">
        <v>1</v>
      </c>
      <c r="BC25" s="153"/>
      <c r="BD25" s="153"/>
      <c r="BE25" s="139">
        <v>8</v>
      </c>
      <c r="BF25" s="153">
        <v>1</v>
      </c>
      <c r="BG25" s="153"/>
      <c r="BH25" s="153"/>
      <c r="BI25" s="153"/>
      <c r="BJ25" s="153"/>
      <c r="BK25" s="153"/>
      <c r="BL25" s="139">
        <v>8</v>
      </c>
      <c r="BM25" s="153"/>
      <c r="BN25" s="153"/>
      <c r="BO25" s="153"/>
      <c r="BP25" s="153"/>
      <c r="BQ25" s="153"/>
      <c r="BR25" s="153"/>
      <c r="BS25" s="112">
        <f t="shared" si="0"/>
        <v>8</v>
      </c>
      <c r="BT25" s="112">
        <f t="shared" si="2"/>
        <v>32</v>
      </c>
    </row>
    <row r="26" spans="1:72" ht="16.5" x14ac:dyDescent="0.25">
      <c r="A26" s="3">
        <v>60</v>
      </c>
      <c r="B26" s="3" t="str">
        <f>'Bang luong'!B26</f>
        <v>NV62</v>
      </c>
      <c r="C26" s="3" t="str">
        <f>VLOOKUP(B26,'Bang luong'!$B$5:$C$58,2,0)</f>
        <v>Nguyễn Trọng Minh</v>
      </c>
      <c r="D26" s="3" t="str">
        <f>VLOOKUP(B26,'Bang luong'!$B$5:$D$99,3,0)</f>
        <v>Lái xe cơ giới</v>
      </c>
      <c r="E26" s="138">
        <v>0.5</v>
      </c>
      <c r="F26" s="138">
        <v>0</v>
      </c>
      <c r="G26" s="138">
        <v>1</v>
      </c>
      <c r="H26" s="143"/>
      <c r="I26" s="138">
        <v>1</v>
      </c>
      <c r="J26" s="138">
        <v>1</v>
      </c>
      <c r="K26" s="138">
        <v>1</v>
      </c>
      <c r="L26" s="138">
        <v>1</v>
      </c>
      <c r="M26" s="138">
        <v>1</v>
      </c>
      <c r="N26" s="138">
        <v>1</v>
      </c>
      <c r="O26" s="143"/>
      <c r="P26" s="138">
        <v>1</v>
      </c>
      <c r="Q26" s="138">
        <v>1</v>
      </c>
      <c r="R26" s="138">
        <v>1</v>
      </c>
      <c r="S26" s="138">
        <v>1</v>
      </c>
      <c r="T26" s="138">
        <v>1</v>
      </c>
      <c r="U26" s="138">
        <v>1</v>
      </c>
      <c r="V26" s="143"/>
      <c r="W26" s="138">
        <v>1</v>
      </c>
      <c r="X26" s="138">
        <v>1</v>
      </c>
      <c r="Y26" s="138">
        <v>1</v>
      </c>
      <c r="Z26" s="138">
        <v>1</v>
      </c>
      <c r="AA26" s="138">
        <v>1</v>
      </c>
      <c r="AB26" s="138">
        <v>1</v>
      </c>
      <c r="AC26" s="143"/>
      <c r="AD26" s="141">
        <v>1</v>
      </c>
      <c r="AE26" s="138">
        <v>1</v>
      </c>
      <c r="AF26" s="138">
        <v>1</v>
      </c>
      <c r="AG26" s="138">
        <v>1</v>
      </c>
      <c r="AH26" s="138">
        <v>1</v>
      </c>
      <c r="AI26" s="138">
        <v>1</v>
      </c>
      <c r="AJ26" s="112">
        <f t="shared" si="3"/>
        <v>25.5</v>
      </c>
      <c r="AK26" s="112">
        <f t="shared" si="1"/>
        <v>0</v>
      </c>
      <c r="AL26" s="112">
        <f t="shared" si="4"/>
        <v>0</v>
      </c>
      <c r="AM26" s="112">
        <f t="shared" si="5"/>
        <v>0</v>
      </c>
      <c r="AN26" s="154"/>
      <c r="AO26" s="154"/>
      <c r="AP26" s="154"/>
      <c r="AQ26" s="139">
        <v>8</v>
      </c>
      <c r="AR26" s="154"/>
      <c r="AS26" s="154">
        <v>1</v>
      </c>
      <c r="AT26" s="154"/>
      <c r="AU26" s="154">
        <v>1</v>
      </c>
      <c r="AV26" s="154">
        <v>1</v>
      </c>
      <c r="AW26" s="154"/>
      <c r="AX26" s="139"/>
      <c r="AY26" s="153">
        <v>1</v>
      </c>
      <c r="AZ26" s="153">
        <v>1</v>
      </c>
      <c r="BA26" s="153">
        <v>1</v>
      </c>
      <c r="BB26" s="153">
        <v>1</v>
      </c>
      <c r="BC26" s="153">
        <v>1</v>
      </c>
      <c r="BD26" s="153">
        <v>1</v>
      </c>
      <c r="BE26" s="139"/>
      <c r="BF26" s="153">
        <v>1</v>
      </c>
      <c r="BG26" s="153"/>
      <c r="BH26" s="153"/>
      <c r="BI26" s="153">
        <v>1</v>
      </c>
      <c r="BJ26" s="153">
        <v>1</v>
      </c>
      <c r="BK26" s="153"/>
      <c r="BL26" s="139">
        <v>8</v>
      </c>
      <c r="BM26" s="153"/>
      <c r="BN26" s="153"/>
      <c r="BO26" s="153"/>
      <c r="BP26" s="153"/>
      <c r="BQ26" s="153"/>
      <c r="BR26" s="153"/>
      <c r="BS26" s="112">
        <f t="shared" si="0"/>
        <v>12</v>
      </c>
      <c r="BT26" s="112">
        <f t="shared" si="2"/>
        <v>16</v>
      </c>
    </row>
    <row r="27" spans="1:72" ht="16.5" x14ac:dyDescent="0.25">
      <c r="A27" s="3">
        <v>61</v>
      </c>
      <c r="B27" s="3" t="str">
        <f>'Bang luong'!B27</f>
        <v>NV63</v>
      </c>
      <c r="C27" s="3" t="str">
        <f>VLOOKUP(B27,'Bang luong'!$B$5:$C$58,2,0)</f>
        <v>Trần Thanh Hậu</v>
      </c>
      <c r="D27" s="3" t="str">
        <f>VLOOKUP(B27,'Bang luong'!$B$5:$D$99,3,0)</f>
        <v>Lái xe cơ giới</v>
      </c>
      <c r="E27" s="138">
        <v>1</v>
      </c>
      <c r="F27" s="138">
        <v>1</v>
      </c>
      <c r="G27" s="138">
        <v>1</v>
      </c>
      <c r="H27" s="143"/>
      <c r="I27" s="138">
        <v>1</v>
      </c>
      <c r="J27" s="138">
        <v>1</v>
      </c>
      <c r="K27" s="138">
        <v>0</v>
      </c>
      <c r="L27" s="138">
        <v>1</v>
      </c>
      <c r="M27" s="138">
        <v>1</v>
      </c>
      <c r="N27" s="138">
        <v>1</v>
      </c>
      <c r="O27" s="143"/>
      <c r="P27" s="138">
        <v>1</v>
      </c>
      <c r="Q27" s="138">
        <v>1</v>
      </c>
      <c r="R27" s="138">
        <v>1</v>
      </c>
      <c r="S27" s="138">
        <v>1</v>
      </c>
      <c r="T27" s="138">
        <v>1</v>
      </c>
      <c r="U27" s="138">
        <v>1</v>
      </c>
      <c r="V27" s="143"/>
      <c r="W27" s="138">
        <v>1</v>
      </c>
      <c r="X27" s="138">
        <v>1</v>
      </c>
      <c r="Y27" s="138">
        <v>1</v>
      </c>
      <c r="Z27" s="138">
        <v>1</v>
      </c>
      <c r="AA27" s="138">
        <v>1</v>
      </c>
      <c r="AB27" s="138">
        <v>1</v>
      </c>
      <c r="AC27" s="143"/>
      <c r="AD27" s="138">
        <v>1</v>
      </c>
      <c r="AE27" s="138">
        <v>1</v>
      </c>
      <c r="AF27" s="138">
        <v>1</v>
      </c>
      <c r="AG27" s="138">
        <v>1</v>
      </c>
      <c r="AH27" s="138">
        <v>1</v>
      </c>
      <c r="AI27" s="138">
        <v>1</v>
      </c>
      <c r="AJ27" s="112">
        <f t="shared" si="3"/>
        <v>26</v>
      </c>
      <c r="AK27" s="112">
        <f t="shared" si="1"/>
        <v>0</v>
      </c>
      <c r="AL27" s="112">
        <f t="shared" si="4"/>
        <v>0</v>
      </c>
      <c r="AM27" s="112">
        <f t="shared" si="5"/>
        <v>0</v>
      </c>
      <c r="AN27" s="153"/>
      <c r="AO27" s="153"/>
      <c r="AP27" s="153"/>
      <c r="AQ27" s="139">
        <v>8</v>
      </c>
      <c r="AR27" s="153"/>
      <c r="AS27" s="153"/>
      <c r="AT27" s="153"/>
      <c r="AU27" s="153"/>
      <c r="AV27" s="153"/>
      <c r="AW27" s="153"/>
      <c r="AX27" s="139">
        <v>8</v>
      </c>
      <c r="AY27" s="155"/>
      <c r="AZ27" s="155"/>
      <c r="BA27" s="155"/>
      <c r="BB27" s="155"/>
      <c r="BC27" s="155"/>
      <c r="BD27" s="155"/>
      <c r="BE27" s="139">
        <v>8</v>
      </c>
      <c r="BF27" s="155"/>
      <c r="BG27" s="155"/>
      <c r="BH27" s="155"/>
      <c r="BI27" s="155"/>
      <c r="BJ27" s="155"/>
      <c r="BK27" s="155"/>
      <c r="BL27" s="139">
        <v>8</v>
      </c>
      <c r="BM27" s="155"/>
      <c r="BN27" s="155"/>
      <c r="BO27" s="155"/>
      <c r="BP27" s="155"/>
      <c r="BQ27" s="155"/>
      <c r="BR27" s="155"/>
      <c r="BS27" s="112">
        <f t="shared" si="0"/>
        <v>0</v>
      </c>
      <c r="BT27" s="112">
        <f t="shared" si="2"/>
        <v>32</v>
      </c>
    </row>
    <row r="28" spans="1:72" ht="16.5" x14ac:dyDescent="0.25">
      <c r="A28" s="3">
        <v>62</v>
      </c>
      <c r="B28" s="3" t="str">
        <f>'Bang luong'!B28</f>
        <v>NV64</v>
      </c>
      <c r="C28" s="3" t="str">
        <f>VLOOKUP(B28,'Bang luong'!$B$5:$C$58,2,0)</f>
        <v xml:space="preserve">Phan Văn Bạn </v>
      </c>
      <c r="D28" s="3" t="str">
        <f>VLOOKUP(B28,'Bang luong'!$B$5:$D$99,3,0)</f>
        <v>Lái xe cơ giới</v>
      </c>
      <c r="E28" s="138">
        <v>1</v>
      </c>
      <c r="F28" s="138">
        <v>1</v>
      </c>
      <c r="G28" s="138">
        <v>1</v>
      </c>
      <c r="H28" s="143"/>
      <c r="I28" s="138">
        <v>1</v>
      </c>
      <c r="J28" s="138">
        <v>1</v>
      </c>
      <c r="K28" s="138">
        <v>1</v>
      </c>
      <c r="L28" s="138">
        <v>1</v>
      </c>
      <c r="M28" s="138">
        <v>1</v>
      </c>
      <c r="N28" s="138">
        <v>1</v>
      </c>
      <c r="O28" s="143"/>
      <c r="P28" s="138">
        <v>1</v>
      </c>
      <c r="Q28" s="138">
        <v>1</v>
      </c>
      <c r="R28" s="138">
        <v>1</v>
      </c>
      <c r="S28" s="138">
        <v>1</v>
      </c>
      <c r="T28" s="138">
        <v>1</v>
      </c>
      <c r="U28" s="138">
        <v>1</v>
      </c>
      <c r="V28" s="143"/>
      <c r="W28" s="138">
        <v>1</v>
      </c>
      <c r="X28" s="138">
        <v>1</v>
      </c>
      <c r="Y28" s="138">
        <v>1</v>
      </c>
      <c r="Z28" s="138">
        <v>1</v>
      </c>
      <c r="AA28" s="138">
        <v>1</v>
      </c>
      <c r="AB28" s="138">
        <v>1</v>
      </c>
      <c r="AC28" s="143"/>
      <c r="AD28" s="141">
        <v>1</v>
      </c>
      <c r="AE28" s="138">
        <v>1</v>
      </c>
      <c r="AF28" s="138">
        <v>1</v>
      </c>
      <c r="AG28" s="138">
        <v>1</v>
      </c>
      <c r="AH28" s="138">
        <v>1</v>
      </c>
      <c r="AI28" s="138" t="s">
        <v>506</v>
      </c>
      <c r="AJ28" s="112">
        <f t="shared" si="3"/>
        <v>26</v>
      </c>
      <c r="AK28" s="112">
        <f t="shared" si="1"/>
        <v>0</v>
      </c>
      <c r="AL28" s="112">
        <f t="shared" si="4"/>
        <v>1</v>
      </c>
      <c r="AM28" s="112">
        <f t="shared" si="5"/>
        <v>0</v>
      </c>
      <c r="AN28" s="153">
        <v>1</v>
      </c>
      <c r="AO28" s="153"/>
      <c r="AP28" s="153"/>
      <c r="AQ28" s="139">
        <v>8</v>
      </c>
      <c r="AR28" s="153">
        <v>1</v>
      </c>
      <c r="AS28" s="153">
        <v>1</v>
      </c>
      <c r="AT28" s="153"/>
      <c r="AU28" s="153">
        <v>1</v>
      </c>
      <c r="AV28" s="153">
        <v>1</v>
      </c>
      <c r="AW28" s="153"/>
      <c r="AX28" s="139">
        <v>8</v>
      </c>
      <c r="AY28" s="155">
        <v>1</v>
      </c>
      <c r="AZ28" s="155">
        <v>1</v>
      </c>
      <c r="BA28" s="155">
        <v>1</v>
      </c>
      <c r="BB28" s="155">
        <v>1</v>
      </c>
      <c r="BC28" s="155">
        <v>1</v>
      </c>
      <c r="BD28" s="155"/>
      <c r="BE28" s="139"/>
      <c r="BF28" s="155">
        <v>1</v>
      </c>
      <c r="BG28" s="155"/>
      <c r="BH28" s="155"/>
      <c r="BI28" s="155">
        <v>1</v>
      </c>
      <c r="BJ28" s="155">
        <v>1</v>
      </c>
      <c r="BK28" s="155"/>
      <c r="BL28" s="139">
        <v>8</v>
      </c>
      <c r="BM28" s="155"/>
      <c r="BN28" s="155"/>
      <c r="BO28" s="155"/>
      <c r="BP28" s="155"/>
      <c r="BQ28" s="155"/>
      <c r="BR28" s="155"/>
      <c r="BS28" s="112">
        <f t="shared" si="0"/>
        <v>13</v>
      </c>
      <c r="BT28" s="112">
        <f t="shared" si="2"/>
        <v>24</v>
      </c>
    </row>
    <row r="29" spans="1:72" ht="16.5" x14ac:dyDescent="0.25">
      <c r="A29" s="3">
        <v>63</v>
      </c>
      <c r="B29" s="3" t="str">
        <f>'Bang luong'!B29</f>
        <v>NV65</v>
      </c>
      <c r="C29" s="3" t="str">
        <f>VLOOKUP(B29,'Bang luong'!$B$5:$C$58,2,0)</f>
        <v>Châu Thành Nhân</v>
      </c>
      <c r="D29" s="3" t="str">
        <f>VLOOKUP(B29,'Bang luong'!$B$5:$D$99,3,0)</f>
        <v>Lái xe cơ giới</v>
      </c>
      <c r="E29" s="138">
        <v>1</v>
      </c>
      <c r="F29" s="138">
        <v>1</v>
      </c>
      <c r="G29" s="138">
        <v>1</v>
      </c>
      <c r="H29" s="143"/>
      <c r="I29" s="138">
        <v>1</v>
      </c>
      <c r="J29" s="138">
        <v>1</v>
      </c>
      <c r="K29" s="138">
        <v>1</v>
      </c>
      <c r="L29" s="138">
        <v>1</v>
      </c>
      <c r="M29" s="138">
        <v>1</v>
      </c>
      <c r="N29" s="138">
        <v>0</v>
      </c>
      <c r="O29" s="143"/>
      <c r="P29" s="138">
        <v>1</v>
      </c>
      <c r="Q29" s="138">
        <v>1</v>
      </c>
      <c r="R29" s="138">
        <v>1</v>
      </c>
      <c r="S29" s="138">
        <v>1</v>
      </c>
      <c r="T29" s="138">
        <v>1</v>
      </c>
      <c r="U29" s="138">
        <v>1</v>
      </c>
      <c r="V29" s="143"/>
      <c r="W29" s="138">
        <v>1</v>
      </c>
      <c r="X29" s="138">
        <v>1</v>
      </c>
      <c r="Y29" s="138">
        <v>1</v>
      </c>
      <c r="Z29" s="138">
        <v>1</v>
      </c>
      <c r="AA29" s="138">
        <v>1</v>
      </c>
      <c r="AB29" s="138">
        <v>1</v>
      </c>
      <c r="AC29" s="143"/>
      <c r="AD29" s="141">
        <v>1</v>
      </c>
      <c r="AE29" s="138">
        <v>1</v>
      </c>
      <c r="AF29" s="138">
        <v>1</v>
      </c>
      <c r="AG29" s="138">
        <v>1</v>
      </c>
      <c r="AH29" s="138">
        <v>1</v>
      </c>
      <c r="AI29" s="138">
        <v>1</v>
      </c>
      <c r="AJ29" s="112">
        <f t="shared" si="3"/>
        <v>26</v>
      </c>
      <c r="AK29" s="112">
        <f t="shared" si="1"/>
        <v>0</v>
      </c>
      <c r="AL29" s="112">
        <f t="shared" si="4"/>
        <v>0</v>
      </c>
      <c r="AM29" s="112">
        <f t="shared" si="5"/>
        <v>0</v>
      </c>
      <c r="AN29" s="153"/>
      <c r="AO29" s="153"/>
      <c r="AP29" s="153"/>
      <c r="AQ29" s="139"/>
      <c r="AR29" s="153"/>
      <c r="AS29" s="153"/>
      <c r="AT29" s="153"/>
      <c r="AU29" s="153"/>
      <c r="AV29" s="153"/>
      <c r="AW29" s="153"/>
      <c r="AX29" s="139">
        <v>8</v>
      </c>
      <c r="AY29" s="155"/>
      <c r="AZ29" s="155"/>
      <c r="BA29" s="155"/>
      <c r="BB29" s="155"/>
      <c r="BC29" s="155"/>
      <c r="BD29" s="155"/>
      <c r="BE29" s="139"/>
      <c r="BF29" s="155"/>
      <c r="BG29" s="155"/>
      <c r="BH29" s="155"/>
      <c r="BI29" s="155"/>
      <c r="BJ29" s="155"/>
      <c r="BK29" s="155"/>
      <c r="BL29" s="139"/>
      <c r="BM29" s="155"/>
      <c r="BN29" s="155"/>
      <c r="BO29" s="155"/>
      <c r="BP29" s="155"/>
      <c r="BQ29" s="155"/>
      <c r="BR29" s="155"/>
      <c r="BS29" s="112">
        <f t="shared" si="0"/>
        <v>0</v>
      </c>
      <c r="BT29" s="112">
        <f t="shared" si="2"/>
        <v>8</v>
      </c>
    </row>
    <row r="30" spans="1:72" ht="16.5" x14ac:dyDescent="0.25">
      <c r="A30" s="3">
        <v>64</v>
      </c>
      <c r="B30" s="3" t="str">
        <f>'Bang luong'!B30</f>
        <v>NV66</v>
      </c>
      <c r="C30" s="3" t="str">
        <f>VLOOKUP(B30,'Bang luong'!$B$5:$C$58,2,0)</f>
        <v>Nguyễn Văn Chạy</v>
      </c>
      <c r="D30" s="3" t="str">
        <f>VLOOKUP(B30,'Bang luong'!$B$5:$D$99,3,0)</f>
        <v>Lái xe cơ giới</v>
      </c>
      <c r="E30" s="138">
        <v>1</v>
      </c>
      <c r="F30" s="138">
        <v>1</v>
      </c>
      <c r="G30" s="138">
        <v>1</v>
      </c>
      <c r="H30" s="143"/>
      <c r="I30" s="138">
        <v>1</v>
      </c>
      <c r="J30" s="138">
        <v>1</v>
      </c>
      <c r="K30" s="138">
        <v>1</v>
      </c>
      <c r="L30" s="138">
        <v>1</v>
      </c>
      <c r="M30" s="138">
        <v>1</v>
      </c>
      <c r="N30" s="138">
        <v>1</v>
      </c>
      <c r="O30" s="143"/>
      <c r="P30" s="138">
        <v>1</v>
      </c>
      <c r="Q30" s="138">
        <v>1</v>
      </c>
      <c r="R30" s="138">
        <v>1</v>
      </c>
      <c r="S30" s="138">
        <v>1</v>
      </c>
      <c r="T30" s="138">
        <v>1</v>
      </c>
      <c r="U30" s="138">
        <v>1</v>
      </c>
      <c r="V30" s="143"/>
      <c r="W30" s="138">
        <v>1</v>
      </c>
      <c r="X30" s="138">
        <v>1</v>
      </c>
      <c r="Y30" s="138">
        <v>1</v>
      </c>
      <c r="Z30" s="138">
        <v>1</v>
      </c>
      <c r="AA30" s="138">
        <v>1</v>
      </c>
      <c r="AB30" s="138">
        <v>1</v>
      </c>
      <c r="AC30" s="143"/>
      <c r="AD30" s="141">
        <v>1</v>
      </c>
      <c r="AE30" s="138">
        <v>1</v>
      </c>
      <c r="AF30" s="138">
        <v>1</v>
      </c>
      <c r="AG30" s="138">
        <v>1</v>
      </c>
      <c r="AH30" s="138">
        <v>1</v>
      </c>
      <c r="AI30" s="138">
        <v>1</v>
      </c>
      <c r="AJ30" s="112">
        <f t="shared" si="3"/>
        <v>27</v>
      </c>
      <c r="AK30" s="112">
        <f t="shared" si="1"/>
        <v>0</v>
      </c>
      <c r="AL30" s="112">
        <f t="shared" si="4"/>
        <v>0</v>
      </c>
      <c r="AM30" s="112">
        <f t="shared" si="5"/>
        <v>0</v>
      </c>
      <c r="AN30" s="153">
        <v>1</v>
      </c>
      <c r="AO30" s="153"/>
      <c r="AP30" s="153"/>
      <c r="AQ30" s="139">
        <v>8</v>
      </c>
      <c r="AR30" s="153">
        <v>1</v>
      </c>
      <c r="AS30" s="153">
        <v>1</v>
      </c>
      <c r="AT30" s="153"/>
      <c r="AU30" s="153">
        <v>1</v>
      </c>
      <c r="AV30" s="153">
        <v>1</v>
      </c>
      <c r="AW30" s="153"/>
      <c r="AX30" s="139">
        <v>8</v>
      </c>
      <c r="AY30" s="153">
        <v>1</v>
      </c>
      <c r="AZ30" s="153">
        <v>1</v>
      </c>
      <c r="BA30" s="153">
        <v>1</v>
      </c>
      <c r="BB30" s="153">
        <v>1</v>
      </c>
      <c r="BC30" s="153">
        <v>1</v>
      </c>
      <c r="BD30" s="153"/>
      <c r="BE30" s="139"/>
      <c r="BF30" s="153"/>
      <c r="BG30" s="153"/>
      <c r="BH30" s="153"/>
      <c r="BI30" s="153">
        <v>1</v>
      </c>
      <c r="BJ30" s="153">
        <v>1</v>
      </c>
      <c r="BK30" s="153"/>
      <c r="BL30" s="139">
        <v>8</v>
      </c>
      <c r="BM30" s="153"/>
      <c r="BN30" s="153"/>
      <c r="BO30" s="153"/>
      <c r="BP30" s="153"/>
      <c r="BQ30" s="153"/>
      <c r="BR30" s="153"/>
      <c r="BS30" s="112">
        <f t="shared" si="0"/>
        <v>12</v>
      </c>
      <c r="BT30" s="112">
        <f t="shared" si="2"/>
        <v>24</v>
      </c>
    </row>
    <row r="31" spans="1:72" ht="16.5" x14ac:dyDescent="0.25">
      <c r="A31" s="3">
        <v>65</v>
      </c>
      <c r="B31" s="3" t="str">
        <f>'Bang luong'!B31</f>
        <v>NV67</v>
      </c>
      <c r="C31" s="3" t="str">
        <f>VLOOKUP(B31,'Bang luong'!$B$5:$C$58,2,0)</f>
        <v>Hà Hoàng Hùng</v>
      </c>
      <c r="D31" s="3" t="str">
        <f>VLOOKUP(B31,'Bang luong'!$B$5:$D$99,3,0)</f>
        <v>Lái xe cơ giới</v>
      </c>
      <c r="E31" s="138">
        <v>0.5</v>
      </c>
      <c r="F31" s="138">
        <v>1</v>
      </c>
      <c r="G31" s="138">
        <v>1</v>
      </c>
      <c r="H31" s="143"/>
      <c r="I31" s="138">
        <v>1</v>
      </c>
      <c r="J31" s="138">
        <v>1</v>
      </c>
      <c r="K31" s="138">
        <v>1</v>
      </c>
      <c r="L31" s="138">
        <v>1</v>
      </c>
      <c r="M31" s="138">
        <v>1</v>
      </c>
      <c r="N31" s="138">
        <v>1</v>
      </c>
      <c r="O31" s="143"/>
      <c r="P31" s="138">
        <v>1</v>
      </c>
      <c r="Q31" s="138">
        <v>1</v>
      </c>
      <c r="R31" s="138">
        <v>1</v>
      </c>
      <c r="S31" s="138">
        <v>1</v>
      </c>
      <c r="T31" s="138">
        <v>0.5</v>
      </c>
      <c r="U31" s="138">
        <v>1</v>
      </c>
      <c r="V31" s="143"/>
      <c r="W31" s="138">
        <v>1</v>
      </c>
      <c r="X31" s="138">
        <v>1</v>
      </c>
      <c r="Y31" s="138">
        <v>1</v>
      </c>
      <c r="Z31" s="138">
        <v>1</v>
      </c>
      <c r="AA31" s="138">
        <v>1</v>
      </c>
      <c r="AB31" s="138">
        <v>0</v>
      </c>
      <c r="AC31" s="143"/>
      <c r="AD31" s="141">
        <v>1</v>
      </c>
      <c r="AE31" s="138">
        <v>1</v>
      </c>
      <c r="AF31" s="138">
        <v>1</v>
      </c>
      <c r="AG31" s="138">
        <v>1</v>
      </c>
      <c r="AH31" s="138">
        <v>1</v>
      </c>
      <c r="AI31" s="138">
        <v>1</v>
      </c>
      <c r="AJ31" s="112">
        <f t="shared" si="3"/>
        <v>25</v>
      </c>
      <c r="AK31" s="112">
        <f t="shared" si="1"/>
        <v>0</v>
      </c>
      <c r="AL31" s="112">
        <f t="shared" si="4"/>
        <v>0</v>
      </c>
      <c r="AM31" s="112">
        <f t="shared" si="5"/>
        <v>0</v>
      </c>
      <c r="AN31" s="153"/>
      <c r="AO31" s="153"/>
      <c r="AP31" s="153"/>
      <c r="AQ31" s="139">
        <v>8</v>
      </c>
      <c r="AR31" s="153">
        <v>1</v>
      </c>
      <c r="AS31" s="153">
        <v>1</v>
      </c>
      <c r="AT31" s="153"/>
      <c r="AU31" s="153">
        <v>1</v>
      </c>
      <c r="AV31" s="153">
        <v>1</v>
      </c>
      <c r="AW31" s="153"/>
      <c r="AX31" s="139">
        <v>8</v>
      </c>
      <c r="AY31" s="153">
        <v>1</v>
      </c>
      <c r="AZ31" s="153">
        <v>1</v>
      </c>
      <c r="BA31" s="153">
        <v>1</v>
      </c>
      <c r="BB31" s="153">
        <v>1</v>
      </c>
      <c r="BC31" s="153"/>
      <c r="BD31" s="153"/>
      <c r="BE31" s="139"/>
      <c r="BF31" s="153"/>
      <c r="BG31" s="153"/>
      <c r="BH31" s="153"/>
      <c r="BI31" s="153">
        <v>1</v>
      </c>
      <c r="BJ31" s="153"/>
      <c r="BK31" s="153"/>
      <c r="BL31" s="139">
        <v>8</v>
      </c>
      <c r="BM31" s="153"/>
      <c r="BN31" s="153"/>
      <c r="BO31" s="153"/>
      <c r="BP31" s="153"/>
      <c r="BQ31" s="153"/>
      <c r="BR31" s="153"/>
      <c r="BS31" s="112">
        <f t="shared" si="0"/>
        <v>9</v>
      </c>
      <c r="BT31" s="112">
        <f t="shared" si="2"/>
        <v>24</v>
      </c>
    </row>
    <row r="32" spans="1:72" ht="16.5" x14ac:dyDescent="0.25">
      <c r="A32" s="3">
        <v>66</v>
      </c>
      <c r="B32" s="3" t="str">
        <f>'Bang luong'!B32</f>
        <v>NV68</v>
      </c>
      <c r="C32" s="3" t="str">
        <f>VLOOKUP(B32,'Bang luong'!$B$5:$C$58,2,0)</f>
        <v>Nguyễn Thanh Nhàn</v>
      </c>
      <c r="D32" s="3" t="str">
        <f>VLOOKUP(B32,'Bang luong'!$B$5:$D$99,3,0)</f>
        <v>Lái xe cơ giới</v>
      </c>
      <c r="E32" s="138">
        <v>1</v>
      </c>
      <c r="F32" s="138">
        <v>0</v>
      </c>
      <c r="G32" s="138">
        <v>1</v>
      </c>
      <c r="H32" s="143"/>
      <c r="I32" s="138">
        <v>1</v>
      </c>
      <c r="J32" s="138">
        <v>1</v>
      </c>
      <c r="K32" s="138">
        <v>1</v>
      </c>
      <c r="L32" s="138">
        <v>1</v>
      </c>
      <c r="M32" s="138">
        <v>1</v>
      </c>
      <c r="N32" s="138">
        <v>1</v>
      </c>
      <c r="O32" s="143"/>
      <c r="P32" s="138">
        <v>1</v>
      </c>
      <c r="Q32" s="138">
        <v>1</v>
      </c>
      <c r="R32" s="138">
        <v>1</v>
      </c>
      <c r="S32" s="138">
        <v>1</v>
      </c>
      <c r="T32" s="138">
        <v>1</v>
      </c>
      <c r="U32" s="138">
        <v>1</v>
      </c>
      <c r="V32" s="143"/>
      <c r="W32" s="138">
        <v>0.5</v>
      </c>
      <c r="X32" s="138">
        <v>1</v>
      </c>
      <c r="Y32" s="138">
        <v>1</v>
      </c>
      <c r="Z32" s="138">
        <v>0</v>
      </c>
      <c r="AA32" s="138">
        <v>1</v>
      </c>
      <c r="AB32" s="138">
        <v>1</v>
      </c>
      <c r="AC32" s="143"/>
      <c r="AD32" s="141">
        <v>1</v>
      </c>
      <c r="AE32" s="138">
        <v>1</v>
      </c>
      <c r="AF32" s="138">
        <v>1</v>
      </c>
      <c r="AG32" s="138">
        <v>1</v>
      </c>
      <c r="AH32" s="138">
        <v>1</v>
      </c>
      <c r="AI32" s="138">
        <v>1</v>
      </c>
      <c r="AJ32" s="112">
        <f t="shared" si="3"/>
        <v>24.5</v>
      </c>
      <c r="AK32" s="112">
        <f t="shared" si="1"/>
        <v>0</v>
      </c>
      <c r="AL32" s="112">
        <f t="shared" si="4"/>
        <v>0</v>
      </c>
      <c r="AM32" s="112">
        <f t="shared" si="5"/>
        <v>0</v>
      </c>
      <c r="AN32" s="153">
        <v>1</v>
      </c>
      <c r="AO32" s="153"/>
      <c r="AP32" s="153"/>
      <c r="AQ32" s="139"/>
      <c r="AR32" s="153">
        <v>1</v>
      </c>
      <c r="AS32" s="153">
        <v>1</v>
      </c>
      <c r="AT32" s="153"/>
      <c r="AU32" s="153">
        <v>1</v>
      </c>
      <c r="AV32" s="153"/>
      <c r="AW32" s="153"/>
      <c r="AX32" s="139">
        <v>8</v>
      </c>
      <c r="AY32" s="153"/>
      <c r="AZ32" s="153">
        <v>1</v>
      </c>
      <c r="BA32" s="153"/>
      <c r="BB32" s="153">
        <v>1</v>
      </c>
      <c r="BC32" s="153"/>
      <c r="BD32" s="153"/>
      <c r="BE32" s="139">
        <v>8</v>
      </c>
      <c r="BF32" s="153"/>
      <c r="BG32" s="153"/>
      <c r="BH32" s="153"/>
      <c r="BI32" s="153"/>
      <c r="BJ32" s="153"/>
      <c r="BK32" s="153"/>
      <c r="BL32" s="139"/>
      <c r="BM32" s="153"/>
      <c r="BN32" s="153"/>
      <c r="BO32" s="153"/>
      <c r="BP32" s="153"/>
      <c r="BQ32" s="153"/>
      <c r="BR32" s="153"/>
      <c r="BS32" s="112">
        <f t="shared" si="0"/>
        <v>6</v>
      </c>
      <c r="BT32" s="112">
        <f t="shared" si="2"/>
        <v>16</v>
      </c>
    </row>
    <row r="33" spans="1:72" x14ac:dyDescent="0.25">
      <c r="A33" s="23"/>
      <c r="B33" s="23"/>
      <c r="C33" s="23"/>
      <c r="D33" s="23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144"/>
      <c r="AF33" s="144"/>
      <c r="AG33" s="144"/>
      <c r="AH33" s="144"/>
      <c r="AI33" s="144"/>
      <c r="AJ33" s="113"/>
      <c r="AK33" s="113"/>
      <c r="AL33" s="113"/>
      <c r="AM33" s="113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12">
        <f t="shared" si="0"/>
        <v>0</v>
      </c>
      <c r="BT33" s="112">
        <f t="shared" si="2"/>
        <v>0</v>
      </c>
    </row>
    <row r="34" spans="1:72" ht="16.5" x14ac:dyDescent="0.25">
      <c r="A34" s="3">
        <v>67</v>
      </c>
      <c r="B34" s="3" t="str">
        <f>'Bang luong'!B34</f>
        <v>NV69</v>
      </c>
      <c r="C34" s="3" t="str">
        <f>VLOOKUP(B34,'Bang luong'!$B$5:$C$58,2,0)</f>
        <v>Lâm Ban</v>
      </c>
      <c r="D34" s="3" t="str">
        <f>VLOOKUP(B34,'Bang luong'!$B$5:$D$99,3,0)</f>
        <v xml:space="preserve">Công nhân </v>
      </c>
      <c r="E34" s="138">
        <v>1</v>
      </c>
      <c r="F34" s="138">
        <v>1</v>
      </c>
      <c r="G34" s="138">
        <v>1</v>
      </c>
      <c r="H34" s="143"/>
      <c r="I34" s="138">
        <v>1</v>
      </c>
      <c r="J34" s="138">
        <v>1</v>
      </c>
      <c r="K34" s="138">
        <v>1</v>
      </c>
      <c r="L34" s="138">
        <v>0.5</v>
      </c>
      <c r="M34" s="138">
        <v>1</v>
      </c>
      <c r="N34" s="138">
        <v>1</v>
      </c>
      <c r="O34" s="143"/>
      <c r="P34" s="138">
        <v>1</v>
      </c>
      <c r="Q34" s="138">
        <v>0</v>
      </c>
      <c r="R34" s="138">
        <v>1</v>
      </c>
      <c r="S34" s="138">
        <v>1</v>
      </c>
      <c r="T34" s="138">
        <v>1</v>
      </c>
      <c r="U34" s="138">
        <v>1</v>
      </c>
      <c r="V34" s="143"/>
      <c r="W34" s="138">
        <v>1</v>
      </c>
      <c r="X34" s="138">
        <v>1</v>
      </c>
      <c r="Y34" s="138">
        <v>1</v>
      </c>
      <c r="Z34" s="138">
        <v>1</v>
      </c>
      <c r="AA34" s="138">
        <v>1</v>
      </c>
      <c r="AB34" s="138">
        <v>1</v>
      </c>
      <c r="AC34" s="143"/>
      <c r="AD34" s="141">
        <v>1</v>
      </c>
      <c r="AE34" s="138">
        <v>1</v>
      </c>
      <c r="AF34" s="138">
        <v>1</v>
      </c>
      <c r="AG34" s="138">
        <v>1</v>
      </c>
      <c r="AH34" s="138">
        <v>1</v>
      </c>
      <c r="AI34" s="138">
        <v>0</v>
      </c>
      <c r="AJ34" s="112">
        <f t="shared" ref="AJ34:AJ55" si="6">SUM(E34:AI34)-AK34</f>
        <v>24.5</v>
      </c>
      <c r="AK34" s="112">
        <f t="shared" si="1"/>
        <v>0</v>
      </c>
      <c r="AL34" s="112">
        <f t="shared" ref="AL34:AL55" si="7">COUNTIF(E34:AI34,"P")</f>
        <v>0</v>
      </c>
      <c r="AM34" s="112">
        <f t="shared" ref="AM34:AM55" si="8">COUNTIF(E34:AI34,"LT")</f>
        <v>0</v>
      </c>
      <c r="AN34" s="153">
        <v>1</v>
      </c>
      <c r="AO34" s="153"/>
      <c r="AP34" s="153"/>
      <c r="AQ34" s="139">
        <v>4</v>
      </c>
      <c r="AR34" s="153">
        <v>1</v>
      </c>
      <c r="AS34" s="153">
        <v>1</v>
      </c>
      <c r="AT34" s="153"/>
      <c r="AU34" s="153"/>
      <c r="AV34" s="153">
        <v>1</v>
      </c>
      <c r="AW34" s="153"/>
      <c r="AX34" s="139"/>
      <c r="AY34" s="153">
        <v>1</v>
      </c>
      <c r="AZ34" s="153"/>
      <c r="BA34" s="153">
        <v>1</v>
      </c>
      <c r="BB34" s="153">
        <v>1</v>
      </c>
      <c r="BC34" s="153">
        <v>1</v>
      </c>
      <c r="BD34" s="153"/>
      <c r="BE34" s="139"/>
      <c r="BF34" s="153">
        <v>1</v>
      </c>
      <c r="BG34" s="153"/>
      <c r="BH34" s="153"/>
      <c r="BI34" s="153"/>
      <c r="BJ34" s="153">
        <v>1</v>
      </c>
      <c r="BK34" s="153"/>
      <c r="BL34" s="139"/>
      <c r="BM34" s="153"/>
      <c r="BN34" s="153"/>
      <c r="BO34" s="153"/>
      <c r="BP34" s="153"/>
      <c r="BQ34" s="153"/>
      <c r="BR34" s="153"/>
      <c r="BS34" s="112">
        <f t="shared" si="0"/>
        <v>10</v>
      </c>
      <c r="BT34" s="112">
        <f t="shared" si="2"/>
        <v>4</v>
      </c>
    </row>
    <row r="35" spans="1:72" ht="16.5" x14ac:dyDescent="0.25">
      <c r="A35" s="3">
        <v>68</v>
      </c>
      <c r="B35" s="3" t="str">
        <f>'Bang luong'!B35</f>
        <v>NV70</v>
      </c>
      <c r="C35" s="3" t="str">
        <f>VLOOKUP(B35,'Bang luong'!$B$5:$C$58,2,0)</f>
        <v>Ngô Văn Thanh</v>
      </c>
      <c r="D35" s="3" t="str">
        <f>VLOOKUP(B35,'Bang luong'!$B$5:$D$99,3,0)</f>
        <v xml:space="preserve">Công nhân </v>
      </c>
      <c r="E35" s="138">
        <v>1</v>
      </c>
      <c r="F35" s="138">
        <v>1</v>
      </c>
      <c r="G35" s="138">
        <v>1</v>
      </c>
      <c r="H35" s="143"/>
      <c r="I35" s="138">
        <v>1</v>
      </c>
      <c r="J35" s="138">
        <v>1</v>
      </c>
      <c r="K35" s="138">
        <v>1</v>
      </c>
      <c r="L35" s="138">
        <v>1</v>
      </c>
      <c r="M35" s="138">
        <v>1</v>
      </c>
      <c r="N35" s="138">
        <v>1</v>
      </c>
      <c r="O35" s="143"/>
      <c r="P35" s="138">
        <v>0.5</v>
      </c>
      <c r="Q35" s="138">
        <v>1</v>
      </c>
      <c r="R35" s="138">
        <v>1</v>
      </c>
      <c r="S35" s="138">
        <v>1</v>
      </c>
      <c r="T35" s="138">
        <v>1</v>
      </c>
      <c r="U35" s="138">
        <v>1</v>
      </c>
      <c r="V35" s="143"/>
      <c r="W35" s="138">
        <v>0</v>
      </c>
      <c r="X35" s="138">
        <v>1</v>
      </c>
      <c r="Y35" s="138">
        <v>1</v>
      </c>
      <c r="Z35" s="138">
        <v>1</v>
      </c>
      <c r="AA35" s="138">
        <v>1</v>
      </c>
      <c r="AB35" s="138">
        <v>1</v>
      </c>
      <c r="AC35" s="143"/>
      <c r="AD35" s="141">
        <v>1</v>
      </c>
      <c r="AE35" s="138">
        <v>1</v>
      </c>
      <c r="AF35" s="138">
        <v>1</v>
      </c>
      <c r="AG35" s="138">
        <v>1</v>
      </c>
      <c r="AH35" s="138">
        <v>1</v>
      </c>
      <c r="AI35" s="138">
        <v>1</v>
      </c>
      <c r="AJ35" s="112">
        <f t="shared" si="6"/>
        <v>25.5</v>
      </c>
      <c r="AK35" s="112">
        <f t="shared" si="1"/>
        <v>0</v>
      </c>
      <c r="AL35" s="112">
        <f t="shared" si="7"/>
        <v>0</v>
      </c>
      <c r="AM35" s="112">
        <f t="shared" si="8"/>
        <v>0</v>
      </c>
      <c r="AN35" s="153">
        <v>1</v>
      </c>
      <c r="AO35" s="153"/>
      <c r="AP35" s="153"/>
      <c r="AQ35" s="139">
        <v>8</v>
      </c>
      <c r="AR35" s="153">
        <v>1</v>
      </c>
      <c r="AS35" s="153"/>
      <c r="AT35" s="153"/>
      <c r="AU35" s="153">
        <v>1</v>
      </c>
      <c r="AV35" s="153">
        <v>1</v>
      </c>
      <c r="AW35" s="153"/>
      <c r="AX35" s="139"/>
      <c r="AY35" s="153"/>
      <c r="AZ35" s="153">
        <v>1</v>
      </c>
      <c r="BA35" s="153">
        <v>1</v>
      </c>
      <c r="BB35" s="153">
        <v>1</v>
      </c>
      <c r="BC35" s="153">
        <v>1</v>
      </c>
      <c r="BD35" s="153"/>
      <c r="BE35" s="139"/>
      <c r="BF35" s="153"/>
      <c r="BG35" s="153"/>
      <c r="BH35" s="153"/>
      <c r="BI35" s="153">
        <v>1</v>
      </c>
      <c r="BJ35" s="153">
        <v>1</v>
      </c>
      <c r="BK35" s="153"/>
      <c r="BL35" s="139">
        <v>8</v>
      </c>
      <c r="BM35" s="153"/>
      <c r="BN35" s="153"/>
      <c r="BO35" s="153"/>
      <c r="BP35" s="153"/>
      <c r="BQ35" s="153"/>
      <c r="BR35" s="153"/>
      <c r="BS35" s="112">
        <f t="shared" si="0"/>
        <v>10</v>
      </c>
      <c r="BT35" s="112">
        <f t="shared" si="2"/>
        <v>16</v>
      </c>
    </row>
    <row r="36" spans="1:72" ht="16.5" x14ac:dyDescent="0.25">
      <c r="A36" s="3">
        <v>69</v>
      </c>
      <c r="B36" s="3" t="str">
        <f>'Bang luong'!B36</f>
        <v>NV71</v>
      </c>
      <c r="C36" s="3" t="str">
        <f>VLOOKUP(B36,'Bang luong'!$B$5:$C$58,2,0)</f>
        <v>Triệu Quốc Minh</v>
      </c>
      <c r="D36" s="3" t="str">
        <f>VLOOKUP(B36,'Bang luong'!$B$5:$D$99,3,0)</f>
        <v xml:space="preserve">Công nhân </v>
      </c>
      <c r="E36" s="138">
        <v>1</v>
      </c>
      <c r="F36" s="138">
        <v>1</v>
      </c>
      <c r="G36" s="138">
        <v>1</v>
      </c>
      <c r="H36" s="143"/>
      <c r="I36" s="138">
        <v>1</v>
      </c>
      <c r="J36" s="138">
        <v>1</v>
      </c>
      <c r="K36" s="138">
        <v>1</v>
      </c>
      <c r="L36" s="138">
        <v>1</v>
      </c>
      <c r="M36" s="138">
        <v>0</v>
      </c>
      <c r="N36" s="138">
        <v>1</v>
      </c>
      <c r="O36" s="143"/>
      <c r="P36" s="138">
        <v>1</v>
      </c>
      <c r="Q36" s="138">
        <v>1</v>
      </c>
      <c r="R36" s="138">
        <v>1</v>
      </c>
      <c r="S36" s="138">
        <v>1</v>
      </c>
      <c r="T36" s="138">
        <v>0</v>
      </c>
      <c r="U36" s="138">
        <v>1</v>
      </c>
      <c r="V36" s="143"/>
      <c r="W36" s="138">
        <v>1</v>
      </c>
      <c r="X36" s="138">
        <v>1</v>
      </c>
      <c r="Y36" s="138">
        <v>1</v>
      </c>
      <c r="Z36" s="138">
        <v>0</v>
      </c>
      <c r="AA36" s="138">
        <v>0</v>
      </c>
      <c r="AB36" s="138">
        <v>1</v>
      </c>
      <c r="AC36" s="143"/>
      <c r="AD36" s="141">
        <v>1</v>
      </c>
      <c r="AE36" s="138">
        <v>0</v>
      </c>
      <c r="AF36" s="138">
        <v>1</v>
      </c>
      <c r="AG36" s="138">
        <v>1</v>
      </c>
      <c r="AH36" s="138">
        <v>0</v>
      </c>
      <c r="AI36" s="138">
        <v>1</v>
      </c>
      <c r="AJ36" s="112">
        <f t="shared" si="6"/>
        <v>21</v>
      </c>
      <c r="AK36" s="112">
        <f t="shared" si="1"/>
        <v>0</v>
      </c>
      <c r="AL36" s="112">
        <f t="shared" si="7"/>
        <v>0</v>
      </c>
      <c r="AM36" s="112">
        <f t="shared" si="8"/>
        <v>0</v>
      </c>
      <c r="AN36" s="153">
        <v>1</v>
      </c>
      <c r="AO36" s="153"/>
      <c r="AP36" s="153"/>
      <c r="AQ36" s="139">
        <v>8</v>
      </c>
      <c r="AR36" s="153">
        <v>1</v>
      </c>
      <c r="AS36" s="153">
        <v>1</v>
      </c>
      <c r="AT36" s="153"/>
      <c r="AU36" s="153">
        <v>1</v>
      </c>
      <c r="AV36" s="153"/>
      <c r="AW36" s="153"/>
      <c r="AX36" s="139">
        <v>8</v>
      </c>
      <c r="AY36" s="153">
        <v>1</v>
      </c>
      <c r="AZ36" s="153">
        <v>1</v>
      </c>
      <c r="BA36" s="153"/>
      <c r="BB36" s="153">
        <v>1</v>
      </c>
      <c r="BC36" s="153"/>
      <c r="BD36" s="153">
        <v>1</v>
      </c>
      <c r="BE36" s="139"/>
      <c r="BF36" s="153">
        <v>1</v>
      </c>
      <c r="BG36" s="153"/>
      <c r="BH36" s="153"/>
      <c r="BI36" s="153"/>
      <c r="BJ36" s="153"/>
      <c r="BK36" s="153"/>
      <c r="BL36" s="139">
        <v>8</v>
      </c>
      <c r="BM36" s="153"/>
      <c r="BN36" s="153"/>
      <c r="BO36" s="153"/>
      <c r="BP36" s="153"/>
      <c r="BQ36" s="153">
        <v>1</v>
      </c>
      <c r="BR36" s="153"/>
      <c r="BS36" s="112">
        <f t="shared" si="0"/>
        <v>10</v>
      </c>
      <c r="BT36" s="112">
        <f t="shared" si="2"/>
        <v>24</v>
      </c>
    </row>
    <row r="37" spans="1:72" ht="16.5" x14ac:dyDescent="0.25">
      <c r="A37" s="3">
        <v>70</v>
      </c>
      <c r="B37" s="3" t="str">
        <f>'Bang luong'!B37</f>
        <v>NV72</v>
      </c>
      <c r="C37" s="3" t="str">
        <f>VLOOKUP(B37,'Bang luong'!$B$5:$C$58,2,0)</f>
        <v>Triệu Minh Tuấn</v>
      </c>
      <c r="D37" s="3" t="str">
        <f>VLOOKUP(B37,'Bang luong'!$B$5:$D$99,3,0)</f>
        <v xml:space="preserve">Công nhân </v>
      </c>
      <c r="E37" s="138">
        <v>1</v>
      </c>
      <c r="F37" s="138">
        <v>1</v>
      </c>
      <c r="G37" s="138">
        <v>1</v>
      </c>
      <c r="H37" s="143"/>
      <c r="I37" s="138">
        <v>1</v>
      </c>
      <c r="J37" s="138">
        <v>1</v>
      </c>
      <c r="K37" s="138">
        <v>1</v>
      </c>
      <c r="L37" s="138">
        <v>1</v>
      </c>
      <c r="M37" s="138">
        <v>1</v>
      </c>
      <c r="N37" s="138">
        <v>1</v>
      </c>
      <c r="O37" s="143"/>
      <c r="P37" s="138">
        <v>1</v>
      </c>
      <c r="Q37" s="138">
        <v>1</v>
      </c>
      <c r="R37" s="138">
        <v>1</v>
      </c>
      <c r="S37" s="138">
        <v>1</v>
      </c>
      <c r="T37" s="138">
        <v>1</v>
      </c>
      <c r="U37" s="138">
        <v>1</v>
      </c>
      <c r="V37" s="143"/>
      <c r="W37" s="138">
        <v>0</v>
      </c>
      <c r="X37" s="138">
        <v>1</v>
      </c>
      <c r="Y37" s="138">
        <v>1</v>
      </c>
      <c r="Z37" s="138">
        <v>1</v>
      </c>
      <c r="AA37" s="138">
        <v>1</v>
      </c>
      <c r="AB37" s="138">
        <v>1</v>
      </c>
      <c r="AC37" s="143"/>
      <c r="AD37" s="138">
        <v>1</v>
      </c>
      <c r="AE37" s="138">
        <v>1</v>
      </c>
      <c r="AF37" s="138">
        <v>1</v>
      </c>
      <c r="AG37" s="138">
        <v>1</v>
      </c>
      <c r="AH37" s="138">
        <v>1</v>
      </c>
      <c r="AI37" s="138">
        <v>1</v>
      </c>
      <c r="AJ37" s="112">
        <f t="shared" si="6"/>
        <v>26</v>
      </c>
      <c r="AK37" s="112">
        <f t="shared" si="1"/>
        <v>0</v>
      </c>
      <c r="AL37" s="112">
        <f t="shared" si="7"/>
        <v>0</v>
      </c>
      <c r="AM37" s="112">
        <f t="shared" si="8"/>
        <v>0</v>
      </c>
      <c r="AN37" s="153">
        <v>1</v>
      </c>
      <c r="AO37" s="153"/>
      <c r="AP37" s="153"/>
      <c r="AQ37" s="139">
        <v>8</v>
      </c>
      <c r="AR37" s="153"/>
      <c r="AS37" s="153"/>
      <c r="AT37" s="153"/>
      <c r="AU37" s="153">
        <v>1</v>
      </c>
      <c r="AV37" s="153">
        <v>1</v>
      </c>
      <c r="AW37" s="153"/>
      <c r="AX37" s="139"/>
      <c r="AY37" s="153"/>
      <c r="AZ37" s="153">
        <v>1</v>
      </c>
      <c r="BA37" s="153">
        <v>1</v>
      </c>
      <c r="BB37" s="153">
        <v>1</v>
      </c>
      <c r="BC37" s="153"/>
      <c r="BD37" s="153"/>
      <c r="BE37" s="139">
        <v>8</v>
      </c>
      <c r="BF37" s="153"/>
      <c r="BG37" s="153"/>
      <c r="BH37" s="153"/>
      <c r="BI37" s="153"/>
      <c r="BJ37" s="153"/>
      <c r="BK37" s="153"/>
      <c r="BL37" s="139">
        <v>8</v>
      </c>
      <c r="BM37" s="153"/>
      <c r="BN37" s="153"/>
      <c r="BO37" s="153"/>
      <c r="BP37" s="153"/>
      <c r="BQ37" s="153"/>
      <c r="BR37" s="153"/>
      <c r="BS37" s="112">
        <f t="shared" si="0"/>
        <v>6</v>
      </c>
      <c r="BT37" s="112">
        <f t="shared" si="2"/>
        <v>24</v>
      </c>
    </row>
    <row r="38" spans="1:72" ht="16.5" x14ac:dyDescent="0.25">
      <c r="A38" s="3">
        <v>71</v>
      </c>
      <c r="B38" s="3" t="str">
        <f>'Bang luong'!B38</f>
        <v>NV73</v>
      </c>
      <c r="C38" s="3" t="str">
        <f>VLOOKUP(B38,'Bang luong'!$B$5:$C$58,2,0)</f>
        <v>Nguyễn Văn Phụng</v>
      </c>
      <c r="D38" s="3" t="str">
        <f>VLOOKUP(B38,'Bang luong'!$B$5:$D$99,3,0)</f>
        <v xml:space="preserve">Công nhân </v>
      </c>
      <c r="E38" s="138">
        <v>1</v>
      </c>
      <c r="F38" s="138">
        <v>1</v>
      </c>
      <c r="G38" s="138">
        <v>1</v>
      </c>
      <c r="H38" s="143"/>
      <c r="I38" s="138">
        <v>1</v>
      </c>
      <c r="J38" s="138">
        <v>1</v>
      </c>
      <c r="K38" s="138">
        <v>1</v>
      </c>
      <c r="L38" s="138">
        <v>1</v>
      </c>
      <c r="M38" s="138">
        <v>1</v>
      </c>
      <c r="N38" s="138">
        <v>0.5</v>
      </c>
      <c r="O38" s="143"/>
      <c r="P38" s="138">
        <v>1</v>
      </c>
      <c r="Q38" s="138">
        <v>1</v>
      </c>
      <c r="R38" s="138">
        <v>1</v>
      </c>
      <c r="S38" s="138">
        <v>1</v>
      </c>
      <c r="T38" s="138">
        <v>1</v>
      </c>
      <c r="U38" s="138">
        <v>1</v>
      </c>
      <c r="V38" s="143"/>
      <c r="W38" s="138">
        <v>1</v>
      </c>
      <c r="X38" s="138">
        <v>1</v>
      </c>
      <c r="Y38" s="138">
        <v>1</v>
      </c>
      <c r="Z38" s="138">
        <v>1</v>
      </c>
      <c r="AA38" s="138">
        <v>1</v>
      </c>
      <c r="AB38" s="138">
        <v>1</v>
      </c>
      <c r="AC38" s="143"/>
      <c r="AD38" s="138">
        <v>0.5</v>
      </c>
      <c r="AE38" s="138">
        <v>1</v>
      </c>
      <c r="AF38" s="138">
        <v>1</v>
      </c>
      <c r="AG38" s="138">
        <v>1</v>
      </c>
      <c r="AH38" s="138">
        <v>1</v>
      </c>
      <c r="AI38" s="138">
        <v>1</v>
      </c>
      <c r="AJ38" s="112">
        <f t="shared" si="6"/>
        <v>26</v>
      </c>
      <c r="AK38" s="112">
        <f t="shared" si="1"/>
        <v>0</v>
      </c>
      <c r="AL38" s="112">
        <f t="shared" si="7"/>
        <v>0</v>
      </c>
      <c r="AM38" s="112">
        <f t="shared" si="8"/>
        <v>0</v>
      </c>
      <c r="AN38" s="153">
        <v>1</v>
      </c>
      <c r="AO38" s="153"/>
      <c r="AP38" s="153"/>
      <c r="AQ38" s="139">
        <v>4</v>
      </c>
      <c r="AR38" s="153">
        <v>1</v>
      </c>
      <c r="AS38" s="153">
        <v>1</v>
      </c>
      <c r="AT38" s="153"/>
      <c r="AU38" s="153">
        <v>1</v>
      </c>
      <c r="AV38" s="153">
        <v>1</v>
      </c>
      <c r="AW38" s="153"/>
      <c r="AX38" s="139"/>
      <c r="AY38" s="153">
        <v>1</v>
      </c>
      <c r="AZ38" s="153">
        <v>1</v>
      </c>
      <c r="BA38" s="153">
        <v>1</v>
      </c>
      <c r="BB38" s="153">
        <v>1</v>
      </c>
      <c r="BC38" s="153">
        <v>1</v>
      </c>
      <c r="BD38" s="153"/>
      <c r="BE38" s="139"/>
      <c r="BF38" s="153">
        <v>1</v>
      </c>
      <c r="BG38" s="153"/>
      <c r="BH38" s="153"/>
      <c r="BI38" s="153">
        <v>1</v>
      </c>
      <c r="BJ38" s="153">
        <v>1</v>
      </c>
      <c r="BK38" s="153"/>
      <c r="BL38" s="139">
        <v>8</v>
      </c>
      <c r="BM38" s="153"/>
      <c r="BN38" s="153"/>
      <c r="BO38" s="153"/>
      <c r="BP38" s="153"/>
      <c r="BQ38" s="153"/>
      <c r="BR38" s="153"/>
      <c r="BS38" s="112">
        <f t="shared" si="0"/>
        <v>13</v>
      </c>
      <c r="BT38" s="112">
        <f t="shared" si="2"/>
        <v>12</v>
      </c>
    </row>
    <row r="39" spans="1:72" ht="16.5" x14ac:dyDescent="0.25">
      <c r="A39" s="3">
        <v>72</v>
      </c>
      <c r="B39" s="3" t="str">
        <f>'Bang luong'!B39</f>
        <v>NV74</v>
      </c>
      <c r="C39" s="3" t="str">
        <f>VLOOKUP(B39,'Bang luong'!$B$5:$C$58,2,0)</f>
        <v xml:space="preserve">Nguyễn Văn Lâm </v>
      </c>
      <c r="D39" s="3" t="str">
        <f>VLOOKUP(B39,'Bang luong'!$B$5:$D$99,3,0)</f>
        <v xml:space="preserve">Công nhân </v>
      </c>
      <c r="E39" s="138">
        <v>1</v>
      </c>
      <c r="F39" s="138">
        <v>1</v>
      </c>
      <c r="G39" s="138">
        <v>1</v>
      </c>
      <c r="H39" s="143"/>
      <c r="I39" s="138">
        <v>1</v>
      </c>
      <c r="J39" s="138">
        <v>1</v>
      </c>
      <c r="K39" s="138">
        <v>1</v>
      </c>
      <c r="L39" s="138">
        <v>1</v>
      </c>
      <c r="M39" s="138">
        <v>1</v>
      </c>
      <c r="N39" s="138">
        <v>0</v>
      </c>
      <c r="O39" s="143"/>
      <c r="P39" s="138">
        <v>1</v>
      </c>
      <c r="Q39" s="138">
        <v>1</v>
      </c>
      <c r="R39" s="138">
        <v>1</v>
      </c>
      <c r="S39" s="138">
        <v>1</v>
      </c>
      <c r="T39" s="138">
        <v>1</v>
      </c>
      <c r="U39" s="138">
        <v>1</v>
      </c>
      <c r="V39" s="143"/>
      <c r="W39" s="138">
        <v>1</v>
      </c>
      <c r="X39" s="138">
        <v>1</v>
      </c>
      <c r="Y39" s="138">
        <v>1</v>
      </c>
      <c r="Z39" s="138">
        <v>1</v>
      </c>
      <c r="AA39" s="138">
        <v>1</v>
      </c>
      <c r="AB39" s="138">
        <v>1</v>
      </c>
      <c r="AC39" s="143"/>
      <c r="AD39" s="141">
        <v>1</v>
      </c>
      <c r="AE39" s="138">
        <v>1</v>
      </c>
      <c r="AF39" s="138">
        <v>1</v>
      </c>
      <c r="AG39" s="138">
        <v>1</v>
      </c>
      <c r="AH39" s="138">
        <v>1</v>
      </c>
      <c r="AI39" s="138">
        <v>0</v>
      </c>
      <c r="AJ39" s="112">
        <f t="shared" si="6"/>
        <v>25</v>
      </c>
      <c r="AK39" s="112">
        <f t="shared" si="1"/>
        <v>0</v>
      </c>
      <c r="AL39" s="112">
        <f t="shared" si="7"/>
        <v>0</v>
      </c>
      <c r="AM39" s="112">
        <f t="shared" si="8"/>
        <v>0</v>
      </c>
      <c r="AN39" s="153"/>
      <c r="AO39" s="153"/>
      <c r="AP39" s="153"/>
      <c r="AQ39" s="139">
        <v>8</v>
      </c>
      <c r="AR39" s="153"/>
      <c r="AS39" s="153"/>
      <c r="AT39" s="153"/>
      <c r="AU39" s="153"/>
      <c r="AV39" s="153"/>
      <c r="AW39" s="153"/>
      <c r="AX39" s="139"/>
      <c r="AY39" s="153"/>
      <c r="AZ39" s="153"/>
      <c r="BA39" s="153"/>
      <c r="BB39" s="153"/>
      <c r="BC39" s="153"/>
      <c r="BD39" s="153"/>
      <c r="BE39" s="139"/>
      <c r="BF39" s="153"/>
      <c r="BG39" s="153"/>
      <c r="BH39" s="153"/>
      <c r="BI39" s="153"/>
      <c r="BJ39" s="153"/>
      <c r="BK39" s="153"/>
      <c r="BL39" s="139">
        <v>8</v>
      </c>
      <c r="BM39" s="153"/>
      <c r="BN39" s="153"/>
      <c r="BO39" s="153"/>
      <c r="BP39" s="153"/>
      <c r="BQ39" s="153"/>
      <c r="BR39" s="153"/>
      <c r="BS39" s="112">
        <f t="shared" si="0"/>
        <v>0</v>
      </c>
      <c r="BT39" s="112">
        <f t="shared" si="2"/>
        <v>16</v>
      </c>
    </row>
    <row r="40" spans="1:72" ht="16.5" x14ac:dyDescent="0.25">
      <c r="A40" s="3">
        <v>73</v>
      </c>
      <c r="B40" s="3" t="str">
        <f>'Bang luong'!B40</f>
        <v>NV75</v>
      </c>
      <c r="C40" s="3" t="str">
        <f>VLOOKUP(B40,'Bang luong'!$B$5:$C$58,2,0)</f>
        <v xml:space="preserve">Nguyễn Minh Tuấn </v>
      </c>
      <c r="D40" s="3" t="str">
        <f>VLOOKUP(B40,'Bang luong'!$B$5:$D$99,3,0)</f>
        <v xml:space="preserve">Công nhân </v>
      </c>
      <c r="E40" s="138">
        <v>1</v>
      </c>
      <c r="F40" s="138">
        <v>1</v>
      </c>
      <c r="G40" s="138">
        <v>0</v>
      </c>
      <c r="H40" s="143"/>
      <c r="I40" s="138">
        <v>1</v>
      </c>
      <c r="J40" s="138">
        <v>1</v>
      </c>
      <c r="K40" s="138">
        <v>0</v>
      </c>
      <c r="L40" s="138">
        <v>1</v>
      </c>
      <c r="M40" s="138">
        <v>1</v>
      </c>
      <c r="N40" s="138">
        <v>1</v>
      </c>
      <c r="O40" s="143"/>
      <c r="P40" s="138">
        <v>1</v>
      </c>
      <c r="Q40" s="138">
        <v>1</v>
      </c>
      <c r="R40" s="138">
        <v>1</v>
      </c>
      <c r="S40" s="138">
        <v>1</v>
      </c>
      <c r="T40" s="138">
        <v>0</v>
      </c>
      <c r="U40" s="138">
        <v>1</v>
      </c>
      <c r="V40" s="143"/>
      <c r="W40" s="138">
        <v>0.5</v>
      </c>
      <c r="X40" s="138">
        <v>1</v>
      </c>
      <c r="Y40" s="138">
        <v>1</v>
      </c>
      <c r="Z40" s="138">
        <v>1</v>
      </c>
      <c r="AA40" s="138">
        <v>1</v>
      </c>
      <c r="AB40" s="138">
        <v>0.5</v>
      </c>
      <c r="AC40" s="143"/>
      <c r="AD40" s="141">
        <v>1</v>
      </c>
      <c r="AE40" s="138">
        <v>1</v>
      </c>
      <c r="AF40" s="138">
        <v>1</v>
      </c>
      <c r="AG40" s="138">
        <v>0.5</v>
      </c>
      <c r="AH40" s="138">
        <v>1</v>
      </c>
      <c r="AI40" s="138">
        <v>1</v>
      </c>
      <c r="AJ40" s="112">
        <f t="shared" si="6"/>
        <v>22.5</v>
      </c>
      <c r="AK40" s="112">
        <f t="shared" si="1"/>
        <v>0</v>
      </c>
      <c r="AL40" s="112">
        <f t="shared" si="7"/>
        <v>0</v>
      </c>
      <c r="AM40" s="112">
        <f t="shared" si="8"/>
        <v>0</v>
      </c>
      <c r="AN40" s="153">
        <v>1</v>
      </c>
      <c r="AO40" s="153"/>
      <c r="AP40" s="153"/>
      <c r="AQ40" s="139"/>
      <c r="AR40" s="153">
        <v>1</v>
      </c>
      <c r="AS40" s="153"/>
      <c r="AT40" s="153"/>
      <c r="AU40" s="153">
        <v>1</v>
      </c>
      <c r="AV40" s="153">
        <v>1</v>
      </c>
      <c r="AW40" s="153"/>
      <c r="AX40" s="139"/>
      <c r="AY40" s="153">
        <v>1</v>
      </c>
      <c r="AZ40" s="153"/>
      <c r="BA40" s="153">
        <v>1</v>
      </c>
      <c r="BB40" s="153"/>
      <c r="BC40" s="153"/>
      <c r="BD40" s="153"/>
      <c r="BE40" s="139"/>
      <c r="BF40" s="153"/>
      <c r="BG40" s="153"/>
      <c r="BH40" s="153"/>
      <c r="BI40" s="153">
        <v>1</v>
      </c>
      <c r="BJ40" s="153">
        <v>1</v>
      </c>
      <c r="BK40" s="153"/>
      <c r="BL40" s="139">
        <v>8</v>
      </c>
      <c r="BM40" s="153"/>
      <c r="BN40" s="153"/>
      <c r="BO40" s="153"/>
      <c r="BP40" s="153"/>
      <c r="BQ40" s="153"/>
      <c r="BR40" s="153"/>
      <c r="BS40" s="112">
        <f t="shared" si="0"/>
        <v>8</v>
      </c>
      <c r="BT40" s="112">
        <f t="shared" si="2"/>
        <v>8</v>
      </c>
    </row>
    <row r="41" spans="1:72" ht="16.5" x14ac:dyDescent="0.25">
      <c r="A41" s="3">
        <v>74</v>
      </c>
      <c r="B41" s="3" t="e">
        <f>'Bang luong'!#REF!</f>
        <v>#REF!</v>
      </c>
      <c r="C41" s="3" t="e">
        <f>VLOOKUP(B41,'Bang luong'!$B$5:$C$58,2,0)</f>
        <v>#REF!</v>
      </c>
      <c r="D41" s="3" t="e">
        <f>VLOOKUP(B41,'Bang luong'!$B$5:$D$99,3,0)</f>
        <v>#REF!</v>
      </c>
      <c r="E41" s="138">
        <v>1</v>
      </c>
      <c r="F41" s="138">
        <v>1</v>
      </c>
      <c r="G41" s="138">
        <v>1</v>
      </c>
      <c r="H41" s="143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  <c r="AA41" s="146"/>
      <c r="AB41" s="146"/>
      <c r="AC41" s="146"/>
      <c r="AD41" s="146"/>
      <c r="AE41" s="146"/>
      <c r="AF41" s="146"/>
      <c r="AG41" s="146"/>
      <c r="AH41" s="146"/>
      <c r="AI41" s="146"/>
      <c r="AJ41" s="112">
        <f t="shared" si="6"/>
        <v>3</v>
      </c>
      <c r="AK41" s="112">
        <f t="shared" si="1"/>
        <v>0</v>
      </c>
      <c r="AL41" s="112">
        <f t="shared" si="7"/>
        <v>0</v>
      </c>
      <c r="AM41" s="112">
        <f t="shared" si="8"/>
        <v>0</v>
      </c>
      <c r="AN41" s="153">
        <v>1</v>
      </c>
      <c r="AO41" s="153"/>
      <c r="AP41" s="153"/>
      <c r="AQ41" s="139">
        <v>8</v>
      </c>
      <c r="AR41" s="153"/>
      <c r="AS41" s="153"/>
      <c r="AT41" s="153"/>
      <c r="AU41" s="153"/>
      <c r="AV41" s="153"/>
      <c r="AW41" s="153"/>
      <c r="AX41" s="139"/>
      <c r="AY41" s="153"/>
      <c r="AZ41" s="153"/>
      <c r="BA41" s="153"/>
      <c r="BB41" s="153"/>
      <c r="BC41" s="153"/>
      <c r="BD41" s="153"/>
      <c r="BE41" s="139"/>
      <c r="BF41" s="153"/>
      <c r="BG41" s="153"/>
      <c r="BH41" s="153"/>
      <c r="BI41" s="153"/>
      <c r="BJ41" s="153"/>
      <c r="BK41" s="153"/>
      <c r="BL41" s="139"/>
      <c r="BM41" s="153"/>
      <c r="BN41" s="153"/>
      <c r="BO41" s="153"/>
      <c r="BP41" s="153"/>
      <c r="BQ41" s="153"/>
      <c r="BR41" s="153"/>
      <c r="BS41" s="112">
        <f t="shared" si="0"/>
        <v>1</v>
      </c>
      <c r="BT41" s="112">
        <f t="shared" si="2"/>
        <v>8</v>
      </c>
    </row>
    <row r="42" spans="1:72" ht="16.5" x14ac:dyDescent="0.25">
      <c r="A42" s="3">
        <v>75</v>
      </c>
      <c r="B42" s="3" t="str">
        <f>'Bang luong'!B41</f>
        <v>NV77</v>
      </c>
      <c r="C42" s="3" t="str">
        <f>VLOOKUP(B42,'Bang luong'!$B$5:$C$58,2,0)</f>
        <v>Nguyễn Thanh Lâm</v>
      </c>
      <c r="D42" s="3" t="str">
        <f>VLOOKUP(B42,'Bang luong'!$B$5:$D$99,3,0)</f>
        <v xml:space="preserve">Công nhân </v>
      </c>
      <c r="E42" s="138">
        <v>1</v>
      </c>
      <c r="F42" s="138">
        <v>1</v>
      </c>
      <c r="G42" s="138">
        <v>1</v>
      </c>
      <c r="H42" s="143"/>
      <c r="I42" s="138">
        <v>1</v>
      </c>
      <c r="J42" s="138">
        <v>1</v>
      </c>
      <c r="K42" s="138">
        <v>0</v>
      </c>
      <c r="L42" s="138">
        <v>1</v>
      </c>
      <c r="M42" s="138">
        <v>1</v>
      </c>
      <c r="N42" s="138">
        <v>1</v>
      </c>
      <c r="O42" s="143"/>
      <c r="P42" s="138">
        <v>1</v>
      </c>
      <c r="Q42" s="138">
        <v>1</v>
      </c>
      <c r="R42" s="138">
        <v>1</v>
      </c>
      <c r="S42" s="138">
        <v>1</v>
      </c>
      <c r="T42" s="138">
        <v>0</v>
      </c>
      <c r="U42" s="138">
        <v>1</v>
      </c>
      <c r="V42" s="143"/>
      <c r="W42" s="138">
        <v>1</v>
      </c>
      <c r="X42" s="138">
        <v>1</v>
      </c>
      <c r="Y42" s="138">
        <v>1</v>
      </c>
      <c r="Z42" s="138">
        <v>1</v>
      </c>
      <c r="AA42" s="138">
        <v>1</v>
      </c>
      <c r="AB42" s="138">
        <v>1</v>
      </c>
      <c r="AC42" s="143"/>
      <c r="AD42" s="141">
        <v>0</v>
      </c>
      <c r="AE42" s="138">
        <v>0</v>
      </c>
      <c r="AF42" s="138">
        <v>0</v>
      </c>
      <c r="AG42" s="138">
        <v>0</v>
      </c>
      <c r="AH42" s="138">
        <v>0</v>
      </c>
      <c r="AI42" s="138">
        <v>1</v>
      </c>
      <c r="AJ42" s="112">
        <f t="shared" si="6"/>
        <v>20</v>
      </c>
      <c r="AK42" s="112">
        <f t="shared" si="1"/>
        <v>0</v>
      </c>
      <c r="AL42" s="112">
        <f t="shared" si="7"/>
        <v>0</v>
      </c>
      <c r="AM42" s="112">
        <f t="shared" si="8"/>
        <v>0</v>
      </c>
      <c r="AN42" s="153">
        <v>1</v>
      </c>
      <c r="AO42" s="153"/>
      <c r="AP42" s="153"/>
      <c r="AQ42" s="139">
        <v>8</v>
      </c>
      <c r="AR42" s="153">
        <v>1</v>
      </c>
      <c r="AS42" s="153">
        <v>1</v>
      </c>
      <c r="AT42" s="153"/>
      <c r="AU42" s="153">
        <v>1</v>
      </c>
      <c r="AV42" s="153">
        <v>1</v>
      </c>
      <c r="AW42" s="153"/>
      <c r="AX42" s="139">
        <v>8</v>
      </c>
      <c r="AY42" s="153">
        <v>1</v>
      </c>
      <c r="AZ42" s="153">
        <v>1</v>
      </c>
      <c r="BA42" s="153">
        <v>1</v>
      </c>
      <c r="BB42" s="153">
        <v>1</v>
      </c>
      <c r="BC42" s="153"/>
      <c r="BD42" s="153"/>
      <c r="BE42" s="139"/>
      <c r="BF42" s="153">
        <v>1</v>
      </c>
      <c r="BG42" s="153"/>
      <c r="BH42" s="153"/>
      <c r="BI42" s="153">
        <v>1</v>
      </c>
      <c r="BJ42" s="153">
        <v>1</v>
      </c>
      <c r="BK42" s="153"/>
      <c r="BL42" s="139">
        <v>8</v>
      </c>
      <c r="BM42" s="153"/>
      <c r="BN42" s="153"/>
      <c r="BO42" s="153"/>
      <c r="BP42" s="153"/>
      <c r="BQ42" s="153"/>
      <c r="BR42" s="153"/>
      <c r="BS42" s="112">
        <f t="shared" si="0"/>
        <v>12</v>
      </c>
      <c r="BT42" s="112">
        <f t="shared" si="2"/>
        <v>24</v>
      </c>
    </row>
    <row r="43" spans="1:72" ht="16.5" x14ac:dyDescent="0.25">
      <c r="A43" s="3">
        <v>76</v>
      </c>
      <c r="B43" s="3" t="str">
        <f>'Bang luong'!B42</f>
        <v>NV78</v>
      </c>
      <c r="C43" s="3" t="str">
        <f>VLOOKUP(B43,'Bang luong'!$B$5:$C$58,2,0)</f>
        <v xml:space="preserve">Triệu Bô Na </v>
      </c>
      <c r="D43" s="3" t="str">
        <f>VLOOKUP(B43,'Bang luong'!$B$5:$D$99,3,0)</f>
        <v xml:space="preserve">Công nhân </v>
      </c>
      <c r="E43" s="138">
        <v>0.5</v>
      </c>
      <c r="F43" s="138">
        <v>1</v>
      </c>
      <c r="G43" s="138">
        <v>1</v>
      </c>
      <c r="H43" s="143"/>
      <c r="I43" s="138">
        <v>1</v>
      </c>
      <c r="J43" s="138">
        <v>1</v>
      </c>
      <c r="K43" s="138">
        <v>1</v>
      </c>
      <c r="L43" s="138">
        <v>1</v>
      </c>
      <c r="M43" s="138">
        <v>1</v>
      </c>
      <c r="N43" s="138">
        <v>0</v>
      </c>
      <c r="O43" s="143"/>
      <c r="P43" s="138">
        <v>0.5</v>
      </c>
      <c r="Q43" s="138">
        <v>1</v>
      </c>
      <c r="R43" s="138">
        <v>1</v>
      </c>
      <c r="S43" s="138">
        <v>1</v>
      </c>
      <c r="T43" s="138">
        <v>1</v>
      </c>
      <c r="U43" s="138">
        <v>1</v>
      </c>
      <c r="V43" s="143"/>
      <c r="W43" s="138">
        <v>1</v>
      </c>
      <c r="X43" s="138">
        <v>1</v>
      </c>
      <c r="Y43" s="138">
        <v>0.5</v>
      </c>
      <c r="Z43" s="138">
        <v>1</v>
      </c>
      <c r="AA43" s="138">
        <v>1</v>
      </c>
      <c r="AB43" s="138">
        <v>1</v>
      </c>
      <c r="AC43" s="143"/>
      <c r="AD43" s="141">
        <v>1</v>
      </c>
      <c r="AE43" s="138">
        <v>1</v>
      </c>
      <c r="AF43" s="138">
        <v>1</v>
      </c>
      <c r="AG43" s="138">
        <v>1</v>
      </c>
      <c r="AH43" s="138">
        <v>1</v>
      </c>
      <c r="AI43" s="138">
        <v>1</v>
      </c>
      <c r="AJ43" s="112">
        <f t="shared" si="6"/>
        <v>24.5</v>
      </c>
      <c r="AK43" s="112">
        <f t="shared" si="1"/>
        <v>0</v>
      </c>
      <c r="AL43" s="112">
        <f t="shared" si="7"/>
        <v>0</v>
      </c>
      <c r="AM43" s="112">
        <f t="shared" si="8"/>
        <v>0</v>
      </c>
      <c r="AN43" s="153"/>
      <c r="AO43" s="153"/>
      <c r="AP43" s="153"/>
      <c r="AQ43" s="139">
        <v>8</v>
      </c>
      <c r="AR43" s="153">
        <v>1</v>
      </c>
      <c r="AS43" s="153">
        <v>1</v>
      </c>
      <c r="AT43" s="153"/>
      <c r="AU43" s="153">
        <v>1</v>
      </c>
      <c r="AV43" s="153">
        <v>1</v>
      </c>
      <c r="AW43" s="153"/>
      <c r="AX43" s="139"/>
      <c r="AY43" s="153">
        <v>1</v>
      </c>
      <c r="AZ43" s="153">
        <v>1</v>
      </c>
      <c r="BA43" s="153">
        <v>1</v>
      </c>
      <c r="BB43" s="153">
        <v>1</v>
      </c>
      <c r="BC43" s="153">
        <v>1</v>
      </c>
      <c r="BD43" s="153">
        <v>1</v>
      </c>
      <c r="BE43" s="139"/>
      <c r="BF43" s="153">
        <v>1</v>
      </c>
      <c r="BG43" s="153"/>
      <c r="BH43" s="153"/>
      <c r="BI43" s="153">
        <v>1</v>
      </c>
      <c r="BJ43" s="153">
        <v>1</v>
      </c>
      <c r="BK43" s="153"/>
      <c r="BL43" s="139">
        <v>8</v>
      </c>
      <c r="BM43" s="153"/>
      <c r="BN43" s="153"/>
      <c r="BO43" s="153"/>
      <c r="BP43" s="153"/>
      <c r="BQ43" s="153">
        <v>1</v>
      </c>
      <c r="BR43" s="153"/>
      <c r="BS43" s="112">
        <f t="shared" si="0"/>
        <v>14</v>
      </c>
      <c r="BT43" s="112">
        <f t="shared" si="2"/>
        <v>16</v>
      </c>
    </row>
    <row r="44" spans="1:72" ht="16.5" x14ac:dyDescent="0.25">
      <c r="A44" s="3">
        <v>77</v>
      </c>
      <c r="B44" s="3" t="str">
        <f>'Bang luong'!B43</f>
        <v>NV79</v>
      </c>
      <c r="C44" s="3" t="str">
        <f>VLOOKUP(B44,'Bang luong'!$B$5:$C$58,2,0)</f>
        <v xml:space="preserve">Trần Văn Thứ </v>
      </c>
      <c r="D44" s="3" t="str">
        <f>VLOOKUP(B44,'Bang luong'!$B$5:$D$99,3,0)</f>
        <v xml:space="preserve">Công nhân </v>
      </c>
      <c r="E44" s="138">
        <v>1</v>
      </c>
      <c r="F44" s="138">
        <v>1</v>
      </c>
      <c r="G44" s="138">
        <v>1</v>
      </c>
      <c r="H44" s="143"/>
      <c r="I44" s="138">
        <v>0</v>
      </c>
      <c r="J44" s="138">
        <v>1</v>
      </c>
      <c r="K44" s="138">
        <v>1</v>
      </c>
      <c r="L44" s="138">
        <v>1</v>
      </c>
      <c r="M44" s="138">
        <v>1</v>
      </c>
      <c r="N44" s="138">
        <v>1</v>
      </c>
      <c r="O44" s="143"/>
      <c r="P44" s="138">
        <v>1</v>
      </c>
      <c r="Q44" s="138">
        <v>1</v>
      </c>
      <c r="R44" s="138">
        <v>1</v>
      </c>
      <c r="S44" s="138">
        <v>0</v>
      </c>
      <c r="T44" s="138">
        <v>1</v>
      </c>
      <c r="U44" s="138">
        <v>1</v>
      </c>
      <c r="V44" s="143"/>
      <c r="W44" s="138">
        <v>1</v>
      </c>
      <c r="X44" s="138">
        <v>1</v>
      </c>
      <c r="Y44" s="138">
        <v>1</v>
      </c>
      <c r="Z44" s="138">
        <v>1</v>
      </c>
      <c r="AA44" s="138">
        <v>1</v>
      </c>
      <c r="AB44" s="138">
        <v>1</v>
      </c>
      <c r="AC44" s="143"/>
      <c r="AD44" s="141">
        <v>1</v>
      </c>
      <c r="AE44" s="138">
        <v>1</v>
      </c>
      <c r="AF44" s="138">
        <v>1</v>
      </c>
      <c r="AG44" s="138">
        <v>1</v>
      </c>
      <c r="AH44" s="138">
        <v>1</v>
      </c>
      <c r="AI44" s="138">
        <v>0</v>
      </c>
      <c r="AJ44" s="112">
        <f t="shared" si="6"/>
        <v>24</v>
      </c>
      <c r="AK44" s="112">
        <f t="shared" si="1"/>
        <v>0</v>
      </c>
      <c r="AL44" s="112">
        <f t="shared" si="7"/>
        <v>0</v>
      </c>
      <c r="AM44" s="112">
        <f t="shared" si="8"/>
        <v>0</v>
      </c>
      <c r="AN44" s="153">
        <v>1</v>
      </c>
      <c r="AO44" s="153"/>
      <c r="AP44" s="153"/>
      <c r="AQ44" s="139">
        <v>8</v>
      </c>
      <c r="AR44" s="153"/>
      <c r="AS44" s="153">
        <v>1</v>
      </c>
      <c r="AT44" s="153"/>
      <c r="AU44" s="153">
        <v>1</v>
      </c>
      <c r="AV44" s="153">
        <v>1</v>
      </c>
      <c r="AW44" s="153"/>
      <c r="AX44" s="139"/>
      <c r="AY44" s="153">
        <v>1</v>
      </c>
      <c r="AZ44" s="153">
        <v>1</v>
      </c>
      <c r="BA44" s="153">
        <v>1</v>
      </c>
      <c r="BB44" s="153"/>
      <c r="BC44" s="153"/>
      <c r="BD44" s="153"/>
      <c r="BE44" s="139"/>
      <c r="BF44" s="153"/>
      <c r="BG44" s="153"/>
      <c r="BH44" s="153"/>
      <c r="BI44" s="153">
        <v>1</v>
      </c>
      <c r="BJ44" s="153"/>
      <c r="BK44" s="153"/>
      <c r="BL44" s="139">
        <v>8</v>
      </c>
      <c r="BM44" s="153"/>
      <c r="BN44" s="153"/>
      <c r="BO44" s="153"/>
      <c r="BP44" s="153"/>
      <c r="BQ44" s="153"/>
      <c r="BR44" s="153"/>
      <c r="BS44" s="112">
        <f t="shared" si="0"/>
        <v>8</v>
      </c>
      <c r="BT44" s="112">
        <f t="shared" si="2"/>
        <v>16</v>
      </c>
    </row>
    <row r="45" spans="1:72" ht="16.5" x14ac:dyDescent="0.25">
      <c r="A45" s="3">
        <v>78</v>
      </c>
      <c r="B45" s="3" t="str">
        <f>'Bang luong'!B44</f>
        <v>NV80</v>
      </c>
      <c r="C45" s="3" t="str">
        <f>VLOOKUP(B45,'Bang luong'!$B$5:$C$58,2,0)</f>
        <v>Quách Văn Chánh</v>
      </c>
      <c r="D45" s="3" t="str">
        <f>VLOOKUP(B45,'Bang luong'!$B$5:$D$99,3,0)</f>
        <v xml:space="preserve">Công nhân </v>
      </c>
      <c r="E45" s="138">
        <v>1</v>
      </c>
      <c r="F45" s="138">
        <v>1</v>
      </c>
      <c r="G45" s="138">
        <v>1</v>
      </c>
      <c r="H45" s="143"/>
      <c r="I45" s="138">
        <v>1</v>
      </c>
      <c r="J45" s="138">
        <v>1</v>
      </c>
      <c r="K45" s="138">
        <v>1</v>
      </c>
      <c r="L45" s="138">
        <v>1</v>
      </c>
      <c r="M45" s="138">
        <v>1</v>
      </c>
      <c r="N45" s="138">
        <v>1</v>
      </c>
      <c r="O45" s="143"/>
      <c r="P45" s="138">
        <v>0.5</v>
      </c>
      <c r="Q45" s="138">
        <v>1</v>
      </c>
      <c r="R45" s="138">
        <v>1</v>
      </c>
      <c r="S45" s="138">
        <v>1</v>
      </c>
      <c r="T45" s="138">
        <v>1</v>
      </c>
      <c r="U45" s="138">
        <v>1</v>
      </c>
      <c r="V45" s="143"/>
      <c r="W45" s="138">
        <v>1</v>
      </c>
      <c r="X45" s="138">
        <v>1</v>
      </c>
      <c r="Y45" s="138">
        <v>1</v>
      </c>
      <c r="Z45" s="138">
        <v>1</v>
      </c>
      <c r="AA45" s="138">
        <v>1</v>
      </c>
      <c r="AB45" s="138">
        <v>1</v>
      </c>
      <c r="AC45" s="143"/>
      <c r="AD45" s="141">
        <v>1</v>
      </c>
      <c r="AE45" s="138">
        <v>1</v>
      </c>
      <c r="AF45" s="138">
        <v>0.5</v>
      </c>
      <c r="AG45" s="138">
        <v>1</v>
      </c>
      <c r="AH45" s="138">
        <v>1</v>
      </c>
      <c r="AI45" s="138">
        <v>1</v>
      </c>
      <c r="AJ45" s="112">
        <f t="shared" si="6"/>
        <v>26</v>
      </c>
      <c r="AK45" s="112">
        <f t="shared" si="1"/>
        <v>0</v>
      </c>
      <c r="AL45" s="112">
        <f t="shared" si="7"/>
        <v>0</v>
      </c>
      <c r="AM45" s="112">
        <f t="shared" si="8"/>
        <v>0</v>
      </c>
      <c r="AN45" s="153">
        <v>1</v>
      </c>
      <c r="AO45" s="153"/>
      <c r="AP45" s="153"/>
      <c r="AQ45" s="139">
        <v>8</v>
      </c>
      <c r="AR45" s="153">
        <v>1</v>
      </c>
      <c r="AS45" s="153">
        <v>1</v>
      </c>
      <c r="AT45" s="153"/>
      <c r="AU45" s="153">
        <v>1</v>
      </c>
      <c r="AV45" s="153">
        <v>1</v>
      </c>
      <c r="AW45" s="153"/>
      <c r="AX45" s="139"/>
      <c r="AY45" s="153">
        <v>1</v>
      </c>
      <c r="AZ45" s="153">
        <v>1</v>
      </c>
      <c r="BA45" s="153">
        <v>1</v>
      </c>
      <c r="BB45" s="153">
        <v>1</v>
      </c>
      <c r="BC45" s="153">
        <v>1</v>
      </c>
      <c r="BD45" s="153">
        <v>1</v>
      </c>
      <c r="BE45" s="139"/>
      <c r="BF45" s="153">
        <v>1</v>
      </c>
      <c r="BG45" s="153"/>
      <c r="BH45" s="153"/>
      <c r="BI45" s="153">
        <v>1</v>
      </c>
      <c r="BJ45" s="153">
        <v>1</v>
      </c>
      <c r="BK45" s="153"/>
      <c r="BL45" s="139">
        <v>8</v>
      </c>
      <c r="BM45" s="153"/>
      <c r="BN45" s="153"/>
      <c r="BO45" s="153"/>
      <c r="BP45" s="153"/>
      <c r="BQ45" s="153">
        <v>1</v>
      </c>
      <c r="BR45" s="153"/>
      <c r="BS45" s="112">
        <f t="shared" si="0"/>
        <v>15</v>
      </c>
      <c r="BT45" s="112">
        <f t="shared" si="2"/>
        <v>16</v>
      </c>
    </row>
    <row r="46" spans="1:72" ht="16.5" x14ac:dyDescent="0.25">
      <c r="A46" s="3">
        <v>79</v>
      </c>
      <c r="B46" s="3" t="str">
        <f>'Bang luong'!B45</f>
        <v>NV81</v>
      </c>
      <c r="C46" s="3" t="str">
        <f>VLOOKUP(B46,'Bang luong'!$B$5:$C$58,2,0)</f>
        <v>Nguyễn Tấn Kiệt</v>
      </c>
      <c r="D46" s="3" t="str">
        <f>VLOOKUP(B46,'Bang luong'!$B$5:$D$99,3,0)</f>
        <v xml:space="preserve">Công nhân </v>
      </c>
      <c r="E46" s="138">
        <v>1</v>
      </c>
      <c r="F46" s="138">
        <v>1</v>
      </c>
      <c r="G46" s="138">
        <v>1</v>
      </c>
      <c r="H46" s="143"/>
      <c r="I46" s="138">
        <v>1</v>
      </c>
      <c r="J46" s="138">
        <v>1</v>
      </c>
      <c r="K46" s="138">
        <v>1</v>
      </c>
      <c r="L46" s="138">
        <v>1</v>
      </c>
      <c r="M46" s="138">
        <v>1</v>
      </c>
      <c r="N46" s="138">
        <v>1</v>
      </c>
      <c r="O46" s="143"/>
      <c r="P46" s="138">
        <v>1</v>
      </c>
      <c r="Q46" s="138">
        <v>1</v>
      </c>
      <c r="R46" s="138">
        <v>1</v>
      </c>
      <c r="S46" s="138">
        <v>1</v>
      </c>
      <c r="T46" s="138">
        <v>1</v>
      </c>
      <c r="U46" s="138">
        <v>1</v>
      </c>
      <c r="V46" s="143"/>
      <c r="W46" s="138">
        <v>1</v>
      </c>
      <c r="X46" s="138">
        <v>1</v>
      </c>
      <c r="Y46" s="138">
        <v>1</v>
      </c>
      <c r="Z46" s="138">
        <v>1</v>
      </c>
      <c r="AA46" s="138">
        <v>1</v>
      </c>
      <c r="AB46" s="138">
        <v>1</v>
      </c>
      <c r="AC46" s="143"/>
      <c r="AD46" s="141">
        <v>1</v>
      </c>
      <c r="AE46" s="138">
        <v>1</v>
      </c>
      <c r="AF46" s="138">
        <v>1</v>
      </c>
      <c r="AG46" s="138">
        <v>1</v>
      </c>
      <c r="AH46" s="138">
        <v>1</v>
      </c>
      <c r="AI46" s="138">
        <v>1</v>
      </c>
      <c r="AJ46" s="112">
        <f t="shared" si="6"/>
        <v>27</v>
      </c>
      <c r="AK46" s="112">
        <f t="shared" si="1"/>
        <v>0</v>
      </c>
      <c r="AL46" s="112">
        <f t="shared" si="7"/>
        <v>0</v>
      </c>
      <c r="AM46" s="112">
        <f t="shared" si="8"/>
        <v>0</v>
      </c>
      <c r="AN46" s="153">
        <v>1</v>
      </c>
      <c r="AO46" s="153"/>
      <c r="AP46" s="153"/>
      <c r="AQ46" s="139">
        <v>8</v>
      </c>
      <c r="AR46" s="153">
        <v>1</v>
      </c>
      <c r="AS46" s="153">
        <v>1</v>
      </c>
      <c r="AT46" s="153"/>
      <c r="AU46" s="153">
        <v>1</v>
      </c>
      <c r="AV46" s="153">
        <v>1</v>
      </c>
      <c r="AW46" s="153"/>
      <c r="AX46" s="139"/>
      <c r="AY46" s="153">
        <v>1</v>
      </c>
      <c r="AZ46" s="153">
        <v>1</v>
      </c>
      <c r="BA46" s="153">
        <v>1</v>
      </c>
      <c r="BB46" s="153">
        <v>1</v>
      </c>
      <c r="BC46" s="153">
        <v>1</v>
      </c>
      <c r="BD46" s="153"/>
      <c r="BE46" s="139"/>
      <c r="BF46" s="153">
        <v>1</v>
      </c>
      <c r="BG46" s="153"/>
      <c r="BH46" s="153"/>
      <c r="BI46" s="153">
        <v>1</v>
      </c>
      <c r="BJ46" s="153">
        <v>1</v>
      </c>
      <c r="BK46" s="153"/>
      <c r="BL46" s="139">
        <v>8</v>
      </c>
      <c r="BM46" s="153"/>
      <c r="BN46" s="153"/>
      <c r="BO46" s="153"/>
      <c r="BP46" s="153"/>
      <c r="BQ46" s="153"/>
      <c r="BR46" s="153"/>
      <c r="BS46" s="112">
        <f t="shared" si="0"/>
        <v>13</v>
      </c>
      <c r="BT46" s="112">
        <f t="shared" si="2"/>
        <v>16</v>
      </c>
    </row>
    <row r="47" spans="1:72" ht="16.5" x14ac:dyDescent="0.25">
      <c r="A47" s="3">
        <v>80</v>
      </c>
      <c r="B47" s="3" t="str">
        <f>'Bang luong'!B46</f>
        <v>NV82</v>
      </c>
      <c r="C47" s="3" t="str">
        <f>VLOOKUP(B47,'Bang luong'!$B$5:$C$58,2,0)</f>
        <v>Lê Tấn Hùng</v>
      </c>
      <c r="D47" s="3" t="str">
        <f>VLOOKUP(B47,'Bang luong'!$B$5:$D$99,3,0)</f>
        <v xml:space="preserve">Công nhân </v>
      </c>
      <c r="E47" s="138">
        <v>1</v>
      </c>
      <c r="F47" s="138">
        <v>1</v>
      </c>
      <c r="G47" s="138">
        <v>1</v>
      </c>
      <c r="H47" s="143"/>
      <c r="I47" s="138">
        <v>1</v>
      </c>
      <c r="J47" s="138">
        <v>1</v>
      </c>
      <c r="K47" s="138">
        <v>1</v>
      </c>
      <c r="L47" s="138">
        <v>1</v>
      </c>
      <c r="M47" s="138">
        <v>1</v>
      </c>
      <c r="N47" s="138">
        <v>1</v>
      </c>
      <c r="O47" s="143"/>
      <c r="P47" s="138">
        <v>1</v>
      </c>
      <c r="Q47" s="138">
        <v>1</v>
      </c>
      <c r="R47" s="138">
        <v>1</v>
      </c>
      <c r="S47" s="138">
        <v>1</v>
      </c>
      <c r="T47" s="138">
        <v>1</v>
      </c>
      <c r="U47" s="138">
        <v>1</v>
      </c>
      <c r="V47" s="143"/>
      <c r="W47" s="138">
        <v>1</v>
      </c>
      <c r="X47" s="138">
        <v>1</v>
      </c>
      <c r="Y47" s="138">
        <v>1</v>
      </c>
      <c r="Z47" s="138">
        <v>1</v>
      </c>
      <c r="AA47" s="138">
        <v>1</v>
      </c>
      <c r="AB47" s="138">
        <v>1</v>
      </c>
      <c r="AC47" s="143"/>
      <c r="AD47" s="141">
        <v>1</v>
      </c>
      <c r="AE47" s="138">
        <v>1</v>
      </c>
      <c r="AF47" s="138">
        <v>1</v>
      </c>
      <c r="AG47" s="138">
        <v>1</v>
      </c>
      <c r="AH47" s="138">
        <v>1</v>
      </c>
      <c r="AI47" s="138">
        <v>1</v>
      </c>
      <c r="AJ47" s="112">
        <f t="shared" si="6"/>
        <v>27</v>
      </c>
      <c r="AK47" s="112">
        <f t="shared" si="1"/>
        <v>0</v>
      </c>
      <c r="AL47" s="112">
        <f t="shared" si="7"/>
        <v>0</v>
      </c>
      <c r="AM47" s="112">
        <f t="shared" si="8"/>
        <v>0</v>
      </c>
      <c r="AN47" s="153">
        <v>1.5</v>
      </c>
      <c r="AO47" s="153"/>
      <c r="AP47" s="153"/>
      <c r="AQ47" s="139">
        <v>8</v>
      </c>
      <c r="AR47" s="153">
        <v>1.5</v>
      </c>
      <c r="AS47" s="153"/>
      <c r="AT47" s="153"/>
      <c r="AU47" s="153"/>
      <c r="AV47" s="153"/>
      <c r="AW47" s="153"/>
      <c r="AX47" s="139">
        <v>8</v>
      </c>
      <c r="AY47" s="153">
        <v>1</v>
      </c>
      <c r="AZ47" s="153"/>
      <c r="BA47" s="153"/>
      <c r="BB47" s="153"/>
      <c r="BC47" s="153"/>
      <c r="BD47" s="153"/>
      <c r="BE47" s="139"/>
      <c r="BF47" s="153"/>
      <c r="BG47" s="153"/>
      <c r="BH47" s="153"/>
      <c r="BI47" s="153"/>
      <c r="BJ47" s="153"/>
      <c r="BK47" s="153"/>
      <c r="BL47" s="139">
        <v>8</v>
      </c>
      <c r="BM47" s="153"/>
      <c r="BN47" s="153"/>
      <c r="BO47" s="153"/>
      <c r="BP47" s="153">
        <v>3</v>
      </c>
      <c r="BQ47" s="153"/>
      <c r="BR47" s="153">
        <v>3</v>
      </c>
      <c r="BS47" s="112">
        <f t="shared" si="0"/>
        <v>10</v>
      </c>
      <c r="BT47" s="112">
        <f t="shared" si="2"/>
        <v>24</v>
      </c>
    </row>
    <row r="48" spans="1:72" ht="16.5" x14ac:dyDescent="0.25">
      <c r="A48" s="3">
        <v>81</v>
      </c>
      <c r="B48" s="3" t="str">
        <f>'Bang luong'!B47</f>
        <v>NV83</v>
      </c>
      <c r="C48" s="3" t="str">
        <f>VLOOKUP(B48,'Bang luong'!$B$5:$C$58,2,0)</f>
        <v>Nguyễn Văn Hoàng</v>
      </c>
      <c r="D48" s="3" t="str">
        <f>VLOOKUP(B48,'Bang luong'!$B$5:$D$99,3,0)</f>
        <v xml:space="preserve">Công nhân </v>
      </c>
      <c r="E48" s="138">
        <v>1</v>
      </c>
      <c r="F48" s="138">
        <v>1</v>
      </c>
      <c r="G48" s="138">
        <v>1</v>
      </c>
      <c r="H48" s="143"/>
      <c r="I48" s="138">
        <v>1</v>
      </c>
      <c r="J48" s="138">
        <v>1</v>
      </c>
      <c r="K48" s="138">
        <v>1</v>
      </c>
      <c r="L48" s="138">
        <v>0</v>
      </c>
      <c r="M48" s="138">
        <v>0</v>
      </c>
      <c r="N48" s="138">
        <v>1</v>
      </c>
      <c r="O48" s="143"/>
      <c r="P48" s="138">
        <v>1</v>
      </c>
      <c r="Q48" s="138">
        <v>0.5</v>
      </c>
      <c r="R48" s="138">
        <v>0</v>
      </c>
      <c r="S48" s="138">
        <v>1</v>
      </c>
      <c r="T48" s="138">
        <v>1</v>
      </c>
      <c r="U48" s="138">
        <v>0.5</v>
      </c>
      <c r="V48" s="143"/>
      <c r="W48" s="138">
        <v>1</v>
      </c>
      <c r="X48" s="138">
        <v>1</v>
      </c>
      <c r="Y48" s="138">
        <v>1</v>
      </c>
      <c r="Z48" s="138">
        <v>1</v>
      </c>
      <c r="AA48" s="138">
        <v>1</v>
      </c>
      <c r="AB48" s="138">
        <v>1</v>
      </c>
      <c r="AC48" s="143"/>
      <c r="AD48" s="141">
        <v>0</v>
      </c>
      <c r="AE48" s="138">
        <v>1</v>
      </c>
      <c r="AF48" s="138">
        <v>1</v>
      </c>
      <c r="AG48" s="138">
        <v>1</v>
      </c>
      <c r="AH48" s="138">
        <v>0</v>
      </c>
      <c r="AI48" s="138">
        <v>1</v>
      </c>
      <c r="AJ48" s="112">
        <f t="shared" si="6"/>
        <v>21</v>
      </c>
      <c r="AK48" s="112">
        <f t="shared" si="1"/>
        <v>0</v>
      </c>
      <c r="AL48" s="112">
        <f t="shared" si="7"/>
        <v>0</v>
      </c>
      <c r="AM48" s="112">
        <f t="shared" si="8"/>
        <v>0</v>
      </c>
      <c r="AN48" s="153">
        <v>1.5</v>
      </c>
      <c r="AO48" s="153"/>
      <c r="AP48" s="153"/>
      <c r="AQ48" s="139">
        <v>8</v>
      </c>
      <c r="AR48" s="153">
        <v>1.5</v>
      </c>
      <c r="AS48" s="153"/>
      <c r="AT48" s="153"/>
      <c r="AU48" s="153"/>
      <c r="AV48" s="153"/>
      <c r="AW48" s="153"/>
      <c r="AX48" s="139"/>
      <c r="AY48" s="153">
        <v>1</v>
      </c>
      <c r="AZ48" s="153"/>
      <c r="BA48" s="153"/>
      <c r="BB48" s="153">
        <v>1</v>
      </c>
      <c r="BC48" s="153">
        <v>1</v>
      </c>
      <c r="BD48" s="153"/>
      <c r="BE48" s="139"/>
      <c r="BF48" s="153">
        <v>1</v>
      </c>
      <c r="BG48" s="153"/>
      <c r="BH48" s="153"/>
      <c r="BI48" s="153">
        <v>1</v>
      </c>
      <c r="BJ48" s="153">
        <v>1</v>
      </c>
      <c r="BK48" s="153"/>
      <c r="BL48" s="139">
        <v>8</v>
      </c>
      <c r="BM48" s="153"/>
      <c r="BN48" s="153"/>
      <c r="BO48" s="153"/>
      <c r="BP48" s="153"/>
      <c r="BQ48" s="153"/>
      <c r="BR48" s="153"/>
      <c r="BS48" s="112">
        <f t="shared" si="0"/>
        <v>9</v>
      </c>
      <c r="BT48" s="112">
        <f t="shared" si="2"/>
        <v>16</v>
      </c>
    </row>
    <row r="49" spans="1:72" ht="16.5" x14ac:dyDescent="0.25">
      <c r="A49" s="3">
        <v>82</v>
      </c>
      <c r="B49" s="3" t="e">
        <f>'Bang luong'!#REF!</f>
        <v>#REF!</v>
      </c>
      <c r="C49" s="3" t="e">
        <f>VLOOKUP(B49,'Bang luong'!$B$5:$C$58,2,0)</f>
        <v>#REF!</v>
      </c>
      <c r="D49" s="3" t="e">
        <f>VLOOKUP(B49,'Bang luong'!$B$5:$D$99,3,0)</f>
        <v>#REF!</v>
      </c>
      <c r="E49" s="138"/>
      <c r="F49" s="138"/>
      <c r="G49" s="138"/>
      <c r="H49" s="143"/>
      <c r="I49" s="141">
        <v>1</v>
      </c>
      <c r="J49" s="141">
        <v>1</v>
      </c>
      <c r="K49" s="141">
        <v>1</v>
      </c>
      <c r="L49" s="141">
        <v>1</v>
      </c>
      <c r="M49" s="141">
        <v>1</v>
      </c>
      <c r="N49" s="141">
        <v>0</v>
      </c>
      <c r="O49" s="143"/>
      <c r="P49" s="141">
        <v>1</v>
      </c>
      <c r="Q49" s="141"/>
      <c r="R49" s="141"/>
      <c r="S49" s="141"/>
      <c r="T49" s="141"/>
      <c r="U49" s="141"/>
      <c r="V49" s="143"/>
      <c r="W49" s="141"/>
      <c r="X49" s="141"/>
      <c r="Y49" s="141"/>
      <c r="Z49" s="141"/>
      <c r="AA49" s="141"/>
      <c r="AB49" s="141"/>
      <c r="AC49" s="143"/>
      <c r="AD49" s="141"/>
      <c r="AE49" s="138"/>
      <c r="AF49" s="138"/>
      <c r="AG49" s="138"/>
      <c r="AH49" s="138"/>
      <c r="AI49" s="138"/>
      <c r="AJ49" s="112">
        <f t="shared" si="6"/>
        <v>6</v>
      </c>
      <c r="AK49" s="112">
        <f t="shared" si="1"/>
        <v>0</v>
      </c>
      <c r="AL49" s="112">
        <f t="shared" si="7"/>
        <v>0</v>
      </c>
      <c r="AM49" s="112">
        <f t="shared" si="8"/>
        <v>0</v>
      </c>
      <c r="AN49" s="153"/>
      <c r="AO49" s="153"/>
      <c r="AP49" s="153"/>
      <c r="AQ49" s="139"/>
      <c r="AR49" s="153"/>
      <c r="AS49" s="153">
        <v>1</v>
      </c>
      <c r="AT49" s="153"/>
      <c r="AU49" s="153">
        <v>1</v>
      </c>
      <c r="AV49" s="153">
        <v>1</v>
      </c>
      <c r="AW49" s="153"/>
      <c r="AX49" s="139"/>
      <c r="AY49" s="153">
        <v>1</v>
      </c>
      <c r="AZ49" s="153"/>
      <c r="BA49" s="153"/>
      <c r="BB49" s="153"/>
      <c r="BC49" s="153"/>
      <c r="BD49" s="153"/>
      <c r="BE49" s="139"/>
      <c r="BF49" s="153"/>
      <c r="BG49" s="153"/>
      <c r="BH49" s="153"/>
      <c r="BI49" s="153"/>
      <c r="BJ49" s="153"/>
      <c r="BK49" s="153"/>
      <c r="BL49" s="139"/>
      <c r="BM49" s="153"/>
      <c r="BN49" s="153"/>
      <c r="BO49" s="153"/>
      <c r="BP49" s="153"/>
      <c r="BQ49" s="153"/>
      <c r="BR49" s="153"/>
      <c r="BS49" s="112">
        <f t="shared" si="0"/>
        <v>4</v>
      </c>
      <c r="BT49" s="112">
        <f t="shared" si="2"/>
        <v>0</v>
      </c>
    </row>
    <row r="50" spans="1:72" ht="16.5" x14ac:dyDescent="0.25">
      <c r="A50" s="3">
        <v>83</v>
      </c>
      <c r="B50" s="3" t="e">
        <f>'Bang luong'!#REF!</f>
        <v>#REF!</v>
      </c>
      <c r="C50" s="3" t="e">
        <f>VLOOKUP(B50,'Bang luong'!$B$5:$C$58,2,0)</f>
        <v>#REF!</v>
      </c>
      <c r="D50" s="3" t="e">
        <f>VLOOKUP(B50,'Bang luong'!$B$5:$D$99,3,0)</f>
        <v>#REF!</v>
      </c>
      <c r="E50" s="138">
        <v>0</v>
      </c>
      <c r="F50" s="138">
        <v>0</v>
      </c>
      <c r="G50" s="138">
        <v>0</v>
      </c>
      <c r="H50" s="143"/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43"/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43"/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43"/>
      <c r="AD50" s="138">
        <v>0</v>
      </c>
      <c r="AE50" s="138">
        <v>0</v>
      </c>
      <c r="AF50" s="138">
        <v>0</v>
      </c>
      <c r="AG50" s="138">
        <v>0</v>
      </c>
      <c r="AH50" s="138">
        <v>0</v>
      </c>
      <c r="AI50" s="138">
        <v>0</v>
      </c>
      <c r="AJ50" s="112">
        <f t="shared" si="6"/>
        <v>0</v>
      </c>
      <c r="AK50" s="112">
        <f t="shared" si="1"/>
        <v>0</v>
      </c>
      <c r="AL50" s="112">
        <f t="shared" si="7"/>
        <v>0</v>
      </c>
      <c r="AM50" s="112">
        <f t="shared" si="8"/>
        <v>0</v>
      </c>
      <c r="AN50" s="151"/>
      <c r="AO50" s="151"/>
      <c r="AP50" s="151"/>
      <c r="AQ50" s="151"/>
      <c r="AR50" s="151"/>
      <c r="AS50" s="148"/>
      <c r="AT50" s="148"/>
      <c r="AU50" s="148"/>
      <c r="AV50" s="148"/>
      <c r="AW50" s="148"/>
      <c r="AX50" s="148"/>
      <c r="AY50" s="148"/>
      <c r="AZ50" s="148"/>
      <c r="BA50" s="148"/>
      <c r="BB50" s="148"/>
      <c r="BC50" s="148"/>
      <c r="BD50" s="148"/>
      <c r="BE50" s="148"/>
      <c r="BF50" s="148"/>
      <c r="BG50" s="148"/>
      <c r="BH50" s="148"/>
      <c r="BI50" s="148"/>
      <c r="BJ50" s="148"/>
      <c r="BK50" s="148"/>
      <c r="BL50" s="139"/>
      <c r="BM50" s="148"/>
      <c r="BN50" s="148"/>
      <c r="BO50" s="148"/>
      <c r="BP50" s="148"/>
      <c r="BQ50" s="148"/>
      <c r="BR50" s="148"/>
      <c r="BS50" s="112">
        <f t="shared" si="0"/>
        <v>0</v>
      </c>
      <c r="BT50" s="112">
        <f t="shared" si="2"/>
        <v>0</v>
      </c>
    </row>
    <row r="51" spans="1:72" ht="16.5" x14ac:dyDescent="0.25">
      <c r="A51" s="3"/>
      <c r="B51" s="3" t="e">
        <f>'Bang luong'!#REF!</f>
        <v>#REF!</v>
      </c>
      <c r="C51" s="3" t="e">
        <f>VLOOKUP(B51,'Bang luong'!$B$5:$C$58,2,0)</f>
        <v>#REF!</v>
      </c>
      <c r="D51" s="3" t="e">
        <f>VLOOKUP(B51,'Bang luong'!$B$5:$D$99,3,0)</f>
        <v>#REF!</v>
      </c>
      <c r="E51" s="138"/>
      <c r="F51" s="138"/>
      <c r="G51" s="138"/>
      <c r="H51" s="143"/>
      <c r="I51" s="141"/>
      <c r="J51" s="141"/>
      <c r="K51" s="141"/>
      <c r="L51" s="141"/>
      <c r="M51" s="141"/>
      <c r="N51" s="141"/>
      <c r="O51" s="143"/>
      <c r="P51" s="141"/>
      <c r="Q51" s="141"/>
      <c r="R51" s="141"/>
      <c r="S51" s="141"/>
      <c r="T51" s="141"/>
      <c r="U51" s="141"/>
      <c r="V51" s="143"/>
      <c r="W51" s="141"/>
      <c r="X51" s="141"/>
      <c r="Y51" s="141"/>
      <c r="Z51" s="141"/>
      <c r="AA51" s="141"/>
      <c r="AB51" s="141">
        <v>1</v>
      </c>
      <c r="AC51" s="143"/>
      <c r="AD51" s="141">
        <v>1</v>
      </c>
      <c r="AE51" s="138">
        <v>0.5</v>
      </c>
      <c r="AF51" s="138"/>
      <c r="AG51" s="138"/>
      <c r="AH51" s="138"/>
      <c r="AI51" s="138"/>
      <c r="AJ51" s="112">
        <f t="shared" si="6"/>
        <v>2.5</v>
      </c>
      <c r="AK51" s="112">
        <f t="shared" si="1"/>
        <v>0</v>
      </c>
      <c r="AL51" s="112">
        <f t="shared" si="7"/>
        <v>0</v>
      </c>
      <c r="AM51" s="112">
        <f t="shared" si="8"/>
        <v>0</v>
      </c>
      <c r="AN51" s="151"/>
      <c r="AO51" s="151"/>
      <c r="AP51" s="151"/>
      <c r="AQ51" s="151"/>
      <c r="AR51" s="151"/>
      <c r="AS51" s="148"/>
      <c r="AT51" s="148"/>
      <c r="AU51" s="148"/>
      <c r="AV51" s="148"/>
      <c r="AW51" s="148"/>
      <c r="AX51" s="148"/>
      <c r="AY51" s="148"/>
      <c r="AZ51" s="148"/>
      <c r="BA51" s="148"/>
      <c r="BB51" s="148"/>
      <c r="BC51" s="148"/>
      <c r="BD51" s="148"/>
      <c r="BE51" s="148"/>
      <c r="BF51" s="148"/>
      <c r="BG51" s="148"/>
      <c r="BH51" s="148"/>
      <c r="BI51" s="148"/>
      <c r="BJ51" s="148"/>
      <c r="BK51" s="148"/>
      <c r="BL51" s="139">
        <v>2</v>
      </c>
      <c r="BM51" s="148"/>
      <c r="BN51" s="148"/>
      <c r="BO51" s="148"/>
      <c r="BP51" s="148"/>
      <c r="BQ51" s="148"/>
      <c r="BR51" s="148"/>
      <c r="BS51" s="112">
        <f t="shared" si="0"/>
        <v>0</v>
      </c>
      <c r="BT51" s="112">
        <f t="shared" si="2"/>
        <v>2</v>
      </c>
    </row>
    <row r="52" spans="1:72" ht="16.5" x14ac:dyDescent="0.25">
      <c r="A52" s="3"/>
      <c r="B52" s="3" t="str">
        <f>'Bang luong'!B48</f>
        <v>NV87</v>
      </c>
      <c r="C52" s="3" t="str">
        <f>VLOOKUP(B52,'Bang luong'!$B$5:$C$58,2,0)</f>
        <v>Danh Út</v>
      </c>
      <c r="D52" s="3" t="str">
        <f>VLOOKUP(B52,'Bang luong'!$B$5:$D$99,3,0)</f>
        <v xml:space="preserve">Công nhân </v>
      </c>
      <c r="E52" s="138"/>
      <c r="F52" s="138"/>
      <c r="G52" s="138"/>
      <c r="H52" s="143"/>
      <c r="I52" s="141"/>
      <c r="J52" s="141"/>
      <c r="K52" s="141"/>
      <c r="L52" s="141"/>
      <c r="M52" s="141"/>
      <c r="N52" s="141"/>
      <c r="O52" s="143"/>
      <c r="P52" s="141"/>
      <c r="Q52" s="141"/>
      <c r="R52" s="141"/>
      <c r="S52" s="141"/>
      <c r="T52" s="141"/>
      <c r="U52" s="141"/>
      <c r="V52" s="143"/>
      <c r="W52" s="141"/>
      <c r="X52" s="141"/>
      <c r="Y52" s="141"/>
      <c r="Z52" s="141"/>
      <c r="AA52" s="141"/>
      <c r="AB52" s="141">
        <v>1</v>
      </c>
      <c r="AC52" s="143"/>
      <c r="AD52" s="141">
        <v>1</v>
      </c>
      <c r="AE52" s="138">
        <v>1</v>
      </c>
      <c r="AF52" s="138">
        <v>1</v>
      </c>
      <c r="AG52" s="138">
        <v>1</v>
      </c>
      <c r="AH52" s="138">
        <v>1</v>
      </c>
      <c r="AI52" s="138">
        <v>1</v>
      </c>
      <c r="AJ52" s="112">
        <f t="shared" si="6"/>
        <v>7</v>
      </c>
      <c r="AK52" s="112">
        <f t="shared" si="1"/>
        <v>0</v>
      </c>
      <c r="AL52" s="112">
        <f t="shared" si="7"/>
        <v>0</v>
      </c>
      <c r="AM52" s="112">
        <f t="shared" si="8"/>
        <v>0</v>
      </c>
      <c r="AN52" s="153"/>
      <c r="AO52" s="153"/>
      <c r="AP52" s="153"/>
      <c r="AQ52" s="139"/>
      <c r="AR52" s="153"/>
      <c r="AS52" s="153"/>
      <c r="AT52" s="153"/>
      <c r="AU52" s="153"/>
      <c r="AV52" s="153"/>
      <c r="AW52" s="153"/>
      <c r="AX52" s="139"/>
      <c r="AY52" s="153"/>
      <c r="AZ52" s="153"/>
      <c r="BA52" s="153"/>
      <c r="BB52" s="153"/>
      <c r="BC52" s="153"/>
      <c r="BD52" s="153"/>
      <c r="BE52" s="139"/>
      <c r="BF52" s="153"/>
      <c r="BG52" s="153"/>
      <c r="BH52" s="153"/>
      <c r="BI52" s="153"/>
      <c r="BJ52" s="153"/>
      <c r="BK52" s="153"/>
      <c r="BL52" s="139">
        <v>8</v>
      </c>
      <c r="BM52" s="153"/>
      <c r="BN52" s="153"/>
      <c r="BO52" s="153"/>
      <c r="BP52" s="153"/>
      <c r="BQ52" s="153"/>
      <c r="BR52" s="153"/>
      <c r="BS52" s="112">
        <f t="shared" si="0"/>
        <v>0</v>
      </c>
      <c r="BT52" s="112">
        <f t="shared" si="2"/>
        <v>8</v>
      </c>
    </row>
    <row r="53" spans="1:72" ht="16.5" x14ac:dyDescent="0.25">
      <c r="A53" s="3"/>
      <c r="B53" s="3" t="str">
        <f>'Bang luong'!B49</f>
        <v>NV88</v>
      </c>
      <c r="C53" s="3" t="str">
        <f>VLOOKUP(B53,'Bang luong'!$B$5:$C$58,2,0)</f>
        <v>Danh Dên</v>
      </c>
      <c r="D53" s="3" t="str">
        <f>VLOOKUP(B53,'Bang luong'!$B$5:$D$99,3,0)</f>
        <v xml:space="preserve">Công nhân </v>
      </c>
      <c r="E53" s="138"/>
      <c r="F53" s="138"/>
      <c r="G53" s="138"/>
      <c r="H53" s="143"/>
      <c r="I53" s="141"/>
      <c r="J53" s="141"/>
      <c r="K53" s="141"/>
      <c r="L53" s="141"/>
      <c r="M53" s="141"/>
      <c r="N53" s="141"/>
      <c r="O53" s="143"/>
      <c r="P53" s="141"/>
      <c r="Q53" s="141"/>
      <c r="R53" s="141"/>
      <c r="S53" s="141"/>
      <c r="T53" s="141"/>
      <c r="U53" s="141"/>
      <c r="V53" s="143"/>
      <c r="W53" s="141"/>
      <c r="X53" s="141"/>
      <c r="Y53" s="141"/>
      <c r="Z53" s="141"/>
      <c r="AA53" s="141"/>
      <c r="AB53" s="141">
        <v>1</v>
      </c>
      <c r="AC53" s="143"/>
      <c r="AD53" s="141">
        <v>1</v>
      </c>
      <c r="AE53" s="138">
        <v>1</v>
      </c>
      <c r="AF53" s="138">
        <v>1</v>
      </c>
      <c r="AG53" s="138">
        <v>1</v>
      </c>
      <c r="AH53" s="138">
        <v>1</v>
      </c>
      <c r="AI53" s="138">
        <v>1</v>
      </c>
      <c r="AJ53" s="112">
        <f t="shared" si="6"/>
        <v>7</v>
      </c>
      <c r="AK53" s="112">
        <f t="shared" si="1"/>
        <v>0</v>
      </c>
      <c r="AL53" s="112">
        <f t="shared" si="7"/>
        <v>0</v>
      </c>
      <c r="AM53" s="112">
        <f t="shared" si="8"/>
        <v>0</v>
      </c>
      <c r="AN53" s="153"/>
      <c r="AO53" s="153"/>
      <c r="AP53" s="153"/>
      <c r="AQ53" s="139"/>
      <c r="AR53" s="153"/>
      <c r="AS53" s="153"/>
      <c r="AT53" s="153"/>
      <c r="AU53" s="153"/>
      <c r="AV53" s="153"/>
      <c r="AW53" s="153"/>
      <c r="AX53" s="139"/>
      <c r="AY53" s="153"/>
      <c r="AZ53" s="153"/>
      <c r="BA53" s="153"/>
      <c r="BB53" s="153"/>
      <c r="BC53" s="153"/>
      <c r="BD53" s="153"/>
      <c r="BE53" s="139"/>
      <c r="BF53" s="153"/>
      <c r="BG53" s="153"/>
      <c r="BH53" s="153"/>
      <c r="BI53" s="153"/>
      <c r="BJ53" s="153"/>
      <c r="BK53" s="153"/>
      <c r="BL53" s="139">
        <v>8</v>
      </c>
      <c r="BM53" s="153"/>
      <c r="BN53" s="153"/>
      <c r="BO53" s="153"/>
      <c r="BP53" s="153"/>
      <c r="BQ53" s="153"/>
      <c r="BR53" s="153"/>
      <c r="BS53" s="112">
        <f t="shared" si="0"/>
        <v>0</v>
      </c>
      <c r="BT53" s="112">
        <f t="shared" si="2"/>
        <v>8</v>
      </c>
    </row>
    <row r="54" spans="1:72" x14ac:dyDescent="0.25">
      <c r="A54" s="3"/>
      <c r="B54" s="3" t="str">
        <f>'Bang luong'!B50</f>
        <v>NV89</v>
      </c>
      <c r="C54" s="3"/>
      <c r="D54" s="3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12">
        <f t="shared" si="6"/>
        <v>0</v>
      </c>
      <c r="AK54" s="112">
        <f t="shared" si="1"/>
        <v>0</v>
      </c>
      <c r="AL54" s="112">
        <f t="shared" si="7"/>
        <v>0</v>
      </c>
      <c r="AM54" s="112">
        <f t="shared" si="8"/>
        <v>0</v>
      </c>
      <c r="AN54" s="151"/>
      <c r="AO54" s="151"/>
      <c r="AP54" s="151"/>
      <c r="AQ54" s="151"/>
      <c r="AR54" s="151"/>
      <c r="AS54" s="148"/>
      <c r="AT54" s="148"/>
      <c r="AU54" s="148"/>
      <c r="AV54" s="148"/>
      <c r="AW54" s="148"/>
      <c r="AX54" s="148"/>
      <c r="AY54" s="148"/>
      <c r="AZ54" s="148"/>
      <c r="BA54" s="148"/>
      <c r="BB54" s="148"/>
      <c r="BC54" s="148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12">
        <f t="shared" si="0"/>
        <v>0</v>
      </c>
      <c r="BT54" s="112">
        <f t="shared" si="2"/>
        <v>0</v>
      </c>
    </row>
    <row r="55" spans="1:72" x14ac:dyDescent="0.25">
      <c r="A55" s="3"/>
      <c r="B55" s="3" t="str">
        <f>'Bang luong'!B51</f>
        <v>NV90</v>
      </c>
      <c r="C55" s="3"/>
      <c r="D55" s="3"/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12">
        <f t="shared" si="6"/>
        <v>0</v>
      </c>
      <c r="AK55" s="112">
        <f t="shared" si="1"/>
        <v>0</v>
      </c>
      <c r="AL55" s="112">
        <f t="shared" si="7"/>
        <v>0</v>
      </c>
      <c r="AM55" s="112">
        <f t="shared" si="8"/>
        <v>0</v>
      </c>
      <c r="AN55" s="151"/>
      <c r="AO55" s="151"/>
      <c r="AP55" s="151"/>
      <c r="AQ55" s="151"/>
      <c r="AR55" s="151"/>
      <c r="AS55" s="148"/>
      <c r="AT55" s="148"/>
      <c r="AU55" s="148"/>
      <c r="AV55" s="148"/>
      <c r="AW55" s="148"/>
      <c r="AX55" s="148"/>
      <c r="AY55" s="148"/>
      <c r="AZ55" s="148"/>
      <c r="BA55" s="148"/>
      <c r="BB55" s="148"/>
      <c r="BC55" s="148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12">
        <f t="shared" si="0"/>
        <v>0</v>
      </c>
      <c r="BT55" s="112">
        <f t="shared" si="2"/>
        <v>0</v>
      </c>
    </row>
    <row r="56" spans="1:72" x14ac:dyDescent="0.25">
      <c r="AJ56" s="137">
        <f>SUM(AJ6:AJ55)</f>
        <v>972.5</v>
      </c>
    </row>
  </sheetData>
  <mergeCells count="5">
    <mergeCell ref="E3:AI3"/>
    <mergeCell ref="AJ3:AK3"/>
    <mergeCell ref="AL3:AM3"/>
    <mergeCell ref="AN3:BR3"/>
    <mergeCell ref="BS3:BT3"/>
  </mergeCells>
  <pageMargins left="0" right="0" top="0" bottom="0" header="0" footer="0"/>
  <pageSetup paperSize="9" scale="34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S99"/>
  <sheetViews>
    <sheetView topLeftCell="A75" workbookViewId="0">
      <pane xSplit="1" topLeftCell="D1" activePane="topRight" state="frozen"/>
      <selection pane="topRight" activeCell="I55" sqref="I55"/>
    </sheetView>
  </sheetViews>
  <sheetFormatPr defaultColWidth="9.140625" defaultRowHeight="14.25" x14ac:dyDescent="0.2"/>
  <cols>
    <col min="1" max="1" width="5.140625" style="1" customWidth="1"/>
    <col min="2" max="2" width="7.85546875" style="1" customWidth="1"/>
    <col min="3" max="3" width="21.140625" style="1" customWidth="1"/>
    <col min="4" max="4" width="13.42578125" style="1" customWidth="1"/>
    <col min="5" max="5" width="11.7109375" style="1" customWidth="1"/>
    <col min="6" max="6" width="8.140625" style="26" customWidth="1"/>
    <col min="7" max="7" width="6.5703125" style="26" bestFit="1" customWidth="1"/>
    <col min="8" max="8" width="11.28515625" style="31" customWidth="1"/>
    <col min="9" max="9" width="6.5703125" style="31" customWidth="1"/>
    <col min="10" max="13" width="7.42578125" style="31" customWidth="1"/>
    <col min="14" max="14" width="13.42578125" style="31" customWidth="1"/>
    <col min="15" max="15" width="10.5703125" style="31" customWidth="1"/>
    <col min="16" max="16" width="12.85546875" style="31" customWidth="1"/>
    <col min="17" max="19" width="11.42578125" style="1" customWidth="1"/>
    <col min="20" max="16384" width="9.140625" style="1"/>
  </cols>
  <sheetData>
    <row r="3" spans="1:19" x14ac:dyDescent="0.2">
      <c r="E3" s="22">
        <v>3100000</v>
      </c>
    </row>
    <row r="4" spans="1:19" s="5" customFormat="1" ht="5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229</v>
      </c>
      <c r="F4" s="4" t="s">
        <v>217</v>
      </c>
      <c r="G4" s="4" t="s">
        <v>230</v>
      </c>
      <c r="H4" s="32" t="s">
        <v>356</v>
      </c>
      <c r="I4" s="32" t="s">
        <v>354</v>
      </c>
      <c r="J4" s="32" t="s">
        <v>359</v>
      </c>
      <c r="K4" s="32" t="s">
        <v>357</v>
      </c>
      <c r="L4" s="32" t="s">
        <v>358</v>
      </c>
      <c r="M4" s="32" t="s">
        <v>360</v>
      </c>
      <c r="N4" s="32" t="s">
        <v>232</v>
      </c>
      <c r="O4" s="32" t="s">
        <v>238</v>
      </c>
      <c r="P4" s="32" t="s">
        <v>237</v>
      </c>
      <c r="Q4" s="32"/>
      <c r="R4" s="4"/>
      <c r="S4" s="4"/>
    </row>
    <row r="5" spans="1:19" s="2" customFormat="1" hidden="1" x14ac:dyDescent="0.2">
      <c r="A5" s="23" t="s">
        <v>5</v>
      </c>
      <c r="B5" s="23"/>
      <c r="C5" s="23" t="s">
        <v>4</v>
      </c>
      <c r="D5" s="24"/>
      <c r="E5" s="25"/>
      <c r="F5" s="27"/>
      <c r="G5" s="27"/>
      <c r="H5" s="33"/>
      <c r="I5" s="33"/>
      <c r="J5" s="33"/>
      <c r="K5" s="33"/>
      <c r="L5" s="33"/>
      <c r="M5" s="33"/>
      <c r="N5" s="33"/>
      <c r="O5" s="33"/>
      <c r="P5" s="33"/>
      <c r="Q5" s="24"/>
      <c r="R5" s="24"/>
      <c r="S5" s="24"/>
    </row>
    <row r="6" spans="1:19" hidden="1" x14ac:dyDescent="0.2">
      <c r="A6" s="3">
        <v>1</v>
      </c>
      <c r="B6" s="3" t="s">
        <v>118</v>
      </c>
      <c r="C6" s="3" t="s">
        <v>20</v>
      </c>
      <c r="D6" s="3" t="s">
        <v>94</v>
      </c>
      <c r="E6" s="22">
        <f t="shared" ref="E6:E72" si="0">$E$3</f>
        <v>3100000</v>
      </c>
      <c r="F6" s="28" t="s">
        <v>210</v>
      </c>
      <c r="G6" s="28">
        <v>10</v>
      </c>
      <c r="H6" s="22" t="e">
        <f t="array" ref="H6">INDEX(Sheet2!$C$1:$C$81,MATCH(BLuong!F6&amp;BLuong!G6,Sheet2!$A$1:$A$81&amp;Sheet2!$B$1:$B$81,0),0)</f>
        <v>#N/A</v>
      </c>
      <c r="I6" s="22">
        <v>26</v>
      </c>
      <c r="J6" s="22"/>
      <c r="K6" s="22"/>
      <c r="L6" s="22"/>
      <c r="M6" s="22"/>
      <c r="N6" s="22"/>
      <c r="O6" s="22"/>
      <c r="P6" s="106"/>
      <c r="Q6" s="3"/>
      <c r="R6" s="3"/>
      <c r="S6" s="3"/>
    </row>
    <row r="7" spans="1:19" hidden="1" x14ac:dyDescent="0.2">
      <c r="A7" s="3">
        <v>2</v>
      </c>
      <c r="B7" s="3" t="s">
        <v>119</v>
      </c>
      <c r="C7" s="3" t="s">
        <v>21</v>
      </c>
      <c r="D7" s="3" t="s">
        <v>95</v>
      </c>
      <c r="E7" s="22">
        <f t="shared" si="0"/>
        <v>3100000</v>
      </c>
      <c r="F7" s="28" t="s">
        <v>208</v>
      </c>
      <c r="G7" s="28">
        <v>7</v>
      </c>
      <c r="H7" s="22">
        <f>SUMIFS(Sheet2!$C$1:$C$81,Sheet2!$A$1:$A$81,BLuong!F7,Sheet2!$B$1:$B$81,BLuong!G7)</f>
        <v>18725</v>
      </c>
      <c r="I7" s="22">
        <v>26</v>
      </c>
      <c r="J7" s="22"/>
      <c r="K7" s="22"/>
      <c r="L7" s="22"/>
      <c r="M7" s="22"/>
      <c r="N7" s="22"/>
      <c r="O7" s="22"/>
      <c r="P7" s="106"/>
      <c r="Q7" s="3"/>
      <c r="R7" s="3"/>
      <c r="S7" s="3"/>
    </row>
    <row r="8" spans="1:19" s="2" customFormat="1" ht="22.5" hidden="1" x14ac:dyDescent="0.2">
      <c r="A8" s="23" t="s">
        <v>6</v>
      </c>
      <c r="B8" s="23"/>
      <c r="C8" s="23" t="s">
        <v>7</v>
      </c>
      <c r="D8" s="23"/>
      <c r="E8" s="25">
        <f t="shared" si="0"/>
        <v>3100000</v>
      </c>
      <c r="F8" s="29"/>
      <c r="G8" s="29"/>
      <c r="H8" s="34"/>
      <c r="I8" s="34"/>
      <c r="J8" s="34"/>
      <c r="K8" s="34"/>
      <c r="L8" s="34"/>
      <c r="M8" s="34"/>
      <c r="N8" s="34"/>
      <c r="O8" s="34"/>
      <c r="P8" s="34"/>
      <c r="Q8" s="23"/>
      <c r="R8" s="23"/>
      <c r="S8" s="23"/>
    </row>
    <row r="9" spans="1:19" ht="33.75" hidden="1" x14ac:dyDescent="0.2">
      <c r="A9" s="3">
        <v>3</v>
      </c>
      <c r="B9" s="3" t="s">
        <v>120</v>
      </c>
      <c r="C9" s="3" t="s">
        <v>22</v>
      </c>
      <c r="D9" s="3" t="s">
        <v>96</v>
      </c>
      <c r="E9" s="22">
        <f t="shared" si="0"/>
        <v>3100000</v>
      </c>
      <c r="F9" s="28" t="s">
        <v>208</v>
      </c>
      <c r="G9" s="28">
        <v>1</v>
      </c>
      <c r="H9" s="22">
        <f>SUMIFS(Sheet2!$C$1:$C$81,Sheet2!$A$1:$A$81,BLuong!F9,Sheet2!$B$1:$B$81,BLuong!G9)</f>
        <v>7490</v>
      </c>
      <c r="I9" s="22">
        <v>26</v>
      </c>
      <c r="J9" s="22"/>
      <c r="K9" s="22"/>
      <c r="L9" s="22"/>
      <c r="M9" s="22"/>
      <c r="N9" s="22"/>
      <c r="O9" s="22"/>
      <c r="P9" s="106"/>
      <c r="Q9" s="3"/>
      <c r="R9" s="3"/>
      <c r="S9" s="3"/>
    </row>
    <row r="10" spans="1:19" ht="22.5" hidden="1" x14ac:dyDescent="0.2">
      <c r="A10" s="3">
        <v>4</v>
      </c>
      <c r="B10" s="3" t="s">
        <v>121</v>
      </c>
      <c r="C10" s="3" t="s">
        <v>23</v>
      </c>
      <c r="D10" s="3" t="s">
        <v>97</v>
      </c>
      <c r="E10" s="22">
        <f t="shared" si="0"/>
        <v>3100000</v>
      </c>
      <c r="F10" s="28" t="s">
        <v>210</v>
      </c>
      <c r="G10" s="28">
        <v>1</v>
      </c>
      <c r="H10" s="22">
        <f>SUMIFS(Sheet2!$C$1:$C$81,Sheet2!$A$1:$A$81,BLuong!F10,Sheet2!$B$1:$B$81,BLuong!G10)</f>
        <v>6366.5</v>
      </c>
      <c r="I10" s="22">
        <v>26</v>
      </c>
      <c r="J10" s="22"/>
      <c r="K10" s="22"/>
      <c r="L10" s="22"/>
      <c r="M10" s="22"/>
      <c r="N10" s="22"/>
      <c r="O10" s="22"/>
      <c r="P10" s="106"/>
      <c r="Q10" s="3"/>
      <c r="R10" s="3"/>
      <c r="S10" s="3"/>
    </row>
    <row r="11" spans="1:19" hidden="1" x14ac:dyDescent="0.2">
      <c r="A11" s="3">
        <v>5</v>
      </c>
      <c r="B11" s="3" t="s">
        <v>122</v>
      </c>
      <c r="C11" s="3" t="s">
        <v>24</v>
      </c>
      <c r="D11" s="3" t="s">
        <v>98</v>
      </c>
      <c r="E11" s="22">
        <f t="shared" si="0"/>
        <v>3100000</v>
      </c>
      <c r="F11" s="28" t="s">
        <v>211</v>
      </c>
      <c r="G11" s="28">
        <v>1</v>
      </c>
      <c r="H11" s="22">
        <f>SUMIFS(Sheet2!$C$1:$C$81,Sheet2!$A$1:$A$81,BLuong!F11,Sheet2!$B$1:$B$81,BLuong!G11)</f>
        <v>5617.5</v>
      </c>
      <c r="I11" s="22">
        <v>26</v>
      </c>
      <c r="J11" s="22"/>
      <c r="K11" s="22"/>
      <c r="L11" s="22"/>
      <c r="M11" s="22"/>
      <c r="N11" s="22"/>
      <c r="O11" s="22"/>
      <c r="P11" s="106"/>
      <c r="Q11" s="3"/>
      <c r="R11" s="3"/>
      <c r="S11" s="3"/>
    </row>
    <row r="12" spans="1:19" hidden="1" x14ac:dyDescent="0.2">
      <c r="A12" s="3">
        <v>6</v>
      </c>
      <c r="B12" s="3" t="s">
        <v>123</v>
      </c>
      <c r="C12" s="3" t="s">
        <v>25</v>
      </c>
      <c r="D12" s="3" t="s">
        <v>99</v>
      </c>
      <c r="E12" s="22">
        <f t="shared" si="0"/>
        <v>3100000</v>
      </c>
      <c r="F12" s="28" t="s">
        <v>211</v>
      </c>
      <c r="G12" s="28">
        <v>1</v>
      </c>
      <c r="H12" s="22">
        <f>SUMIFS(Sheet2!$C$1:$C$81,Sheet2!$A$1:$A$81,BLuong!F12,Sheet2!$B$1:$B$81,BLuong!G12)</f>
        <v>5617.5</v>
      </c>
      <c r="I12" s="22">
        <v>26</v>
      </c>
      <c r="J12" s="22"/>
      <c r="K12" s="22"/>
      <c r="L12" s="22"/>
      <c r="M12" s="22"/>
      <c r="N12" s="22"/>
      <c r="O12" s="22"/>
      <c r="P12" s="106"/>
      <c r="Q12" s="3"/>
      <c r="R12" s="3"/>
      <c r="S12" s="3"/>
    </row>
    <row r="13" spans="1:19" hidden="1" x14ac:dyDescent="0.2">
      <c r="A13" s="3">
        <v>7</v>
      </c>
      <c r="B13" s="3" t="s">
        <v>124</v>
      </c>
      <c r="C13" s="3" t="s">
        <v>26</v>
      </c>
      <c r="D13" s="3" t="s">
        <v>99</v>
      </c>
      <c r="E13" s="22">
        <f t="shared" si="0"/>
        <v>3100000</v>
      </c>
      <c r="F13" s="28" t="s">
        <v>211</v>
      </c>
      <c r="G13" s="28">
        <v>1</v>
      </c>
      <c r="H13" s="22">
        <f>SUMIFS(Sheet2!$C$1:$C$81,Sheet2!$A$1:$A$81,BLuong!F13,Sheet2!$B$1:$B$81,BLuong!G13)</f>
        <v>5617.5</v>
      </c>
      <c r="I13" s="22">
        <v>26</v>
      </c>
      <c r="J13" s="22"/>
      <c r="K13" s="22"/>
      <c r="L13" s="22"/>
      <c r="M13" s="22"/>
      <c r="N13" s="22"/>
      <c r="O13" s="22"/>
      <c r="P13" s="106"/>
      <c r="Q13" s="3"/>
      <c r="R13" s="3"/>
      <c r="S13" s="3"/>
    </row>
    <row r="14" spans="1:19" hidden="1" x14ac:dyDescent="0.2">
      <c r="A14" s="3">
        <v>8</v>
      </c>
      <c r="B14" s="3" t="s">
        <v>125</v>
      </c>
      <c r="C14" s="3" t="s">
        <v>27</v>
      </c>
      <c r="D14" s="3" t="s">
        <v>100</v>
      </c>
      <c r="E14" s="22">
        <f t="shared" si="0"/>
        <v>3100000</v>
      </c>
      <c r="F14" s="28" t="s">
        <v>211</v>
      </c>
      <c r="G14" s="28">
        <v>1</v>
      </c>
      <c r="H14" s="22">
        <f>SUMIFS(Sheet2!$C$1:$C$81,Sheet2!$A$1:$A$81,BLuong!F14,Sheet2!$B$1:$B$81,BLuong!G14)</f>
        <v>5617.5</v>
      </c>
      <c r="I14" s="22">
        <v>26</v>
      </c>
      <c r="J14" s="22"/>
      <c r="K14" s="22"/>
      <c r="L14" s="22"/>
      <c r="M14" s="22"/>
      <c r="N14" s="22"/>
      <c r="O14" s="22"/>
      <c r="P14" s="106"/>
      <c r="Q14" s="3"/>
      <c r="R14" s="3"/>
      <c r="S14" s="3"/>
    </row>
    <row r="15" spans="1:19" hidden="1" x14ac:dyDescent="0.2">
      <c r="A15" s="3">
        <v>9</v>
      </c>
      <c r="B15" s="3" t="s">
        <v>126</v>
      </c>
      <c r="C15" s="3" t="s">
        <v>28</v>
      </c>
      <c r="D15" s="3" t="s">
        <v>101</v>
      </c>
      <c r="E15" s="22">
        <f t="shared" si="0"/>
        <v>3100000</v>
      </c>
      <c r="F15" s="28" t="s">
        <v>210</v>
      </c>
      <c r="G15" s="28">
        <v>1</v>
      </c>
      <c r="H15" s="22">
        <f>SUMIFS(Sheet2!$C$1:$C$81,Sheet2!$A$1:$A$81,BLuong!F15,Sheet2!$B$1:$B$81,BLuong!G15)</f>
        <v>6366.5</v>
      </c>
      <c r="I15" s="22">
        <v>26</v>
      </c>
      <c r="J15" s="22"/>
      <c r="K15" s="22"/>
      <c r="L15" s="22"/>
      <c r="M15" s="22"/>
      <c r="N15" s="22"/>
      <c r="O15" s="22"/>
      <c r="P15" s="106"/>
      <c r="Q15" s="3"/>
      <c r="R15" s="3"/>
      <c r="S15" s="3"/>
    </row>
    <row r="16" spans="1:19" s="2" customFormat="1" hidden="1" x14ac:dyDescent="0.2">
      <c r="A16" s="23" t="s">
        <v>8</v>
      </c>
      <c r="B16" s="23"/>
      <c r="C16" s="23" t="s">
        <v>9</v>
      </c>
      <c r="D16" s="23"/>
      <c r="E16" s="25">
        <f t="shared" si="0"/>
        <v>3100000</v>
      </c>
      <c r="F16" s="29"/>
      <c r="G16" s="29"/>
      <c r="H16" s="34"/>
      <c r="I16" s="34"/>
      <c r="J16" s="34"/>
      <c r="K16" s="34"/>
      <c r="L16" s="34"/>
      <c r="M16" s="34"/>
      <c r="N16" s="34"/>
      <c r="O16" s="34"/>
      <c r="P16" s="34"/>
      <c r="Q16" s="23"/>
      <c r="R16" s="23"/>
      <c r="S16" s="23"/>
    </row>
    <row r="17" spans="1:19" ht="22.5" hidden="1" x14ac:dyDescent="0.2">
      <c r="A17" s="3">
        <v>10</v>
      </c>
      <c r="B17" s="3" t="s">
        <v>127</v>
      </c>
      <c r="C17" s="3" t="s">
        <v>29</v>
      </c>
      <c r="D17" s="3" t="s">
        <v>102</v>
      </c>
      <c r="E17" s="22">
        <f t="shared" si="0"/>
        <v>3100000</v>
      </c>
      <c r="F17" s="28" t="s">
        <v>210</v>
      </c>
      <c r="G17" s="28">
        <v>1</v>
      </c>
      <c r="H17" s="22">
        <f>SUMIFS(Sheet2!$C$1:$C$81,Sheet2!$A$1:$A$81,BLuong!F17,Sheet2!$B$1:$B$81,BLuong!G17)</f>
        <v>6366.5</v>
      </c>
      <c r="I17" s="22">
        <v>26</v>
      </c>
      <c r="J17" s="22"/>
      <c r="K17" s="22"/>
      <c r="L17" s="22"/>
      <c r="M17" s="22"/>
      <c r="N17" s="22"/>
      <c r="O17" s="22"/>
      <c r="P17" s="106"/>
      <c r="Q17" s="3"/>
      <c r="R17" s="3"/>
      <c r="S17" s="3"/>
    </row>
    <row r="18" spans="1:19" hidden="1" x14ac:dyDescent="0.2">
      <c r="A18" s="3">
        <v>11</v>
      </c>
      <c r="B18" s="3" t="s">
        <v>128</v>
      </c>
      <c r="C18" s="3" t="s">
        <v>37</v>
      </c>
      <c r="D18" s="3" t="s">
        <v>103</v>
      </c>
      <c r="E18" s="22">
        <f t="shared" si="0"/>
        <v>3100000</v>
      </c>
      <c r="F18" s="28" t="s">
        <v>211</v>
      </c>
      <c r="G18" s="28">
        <v>1</v>
      </c>
      <c r="H18" s="22">
        <f>SUMIFS(Sheet2!$C$1:$C$81,Sheet2!$A$1:$A$81,BLuong!F18,Sheet2!$B$1:$B$81,BLuong!G18)</f>
        <v>5617.5</v>
      </c>
      <c r="I18" s="22">
        <v>26</v>
      </c>
      <c r="J18" s="22"/>
      <c r="K18" s="22"/>
      <c r="L18" s="22"/>
      <c r="M18" s="22"/>
      <c r="N18" s="22"/>
      <c r="O18" s="22"/>
      <c r="P18" s="106"/>
      <c r="Q18" s="3"/>
      <c r="R18" s="3"/>
      <c r="S18" s="3"/>
    </row>
    <row r="19" spans="1:19" hidden="1" x14ac:dyDescent="0.2">
      <c r="A19" s="3">
        <v>12</v>
      </c>
      <c r="B19" s="3" t="s">
        <v>129</v>
      </c>
      <c r="C19" s="3" t="s">
        <v>30</v>
      </c>
      <c r="D19" s="3" t="s">
        <v>104</v>
      </c>
      <c r="E19" s="22">
        <f t="shared" si="0"/>
        <v>3100000</v>
      </c>
      <c r="F19" s="28" t="s">
        <v>234</v>
      </c>
      <c r="G19" s="28">
        <v>1</v>
      </c>
      <c r="H19" s="22">
        <f>SUMIFS(Sheet2!$C$1:$C$81,Sheet2!$A$1:$A$81,BLuong!F19,Sheet2!$B$1:$B$81,BLuong!G19)</f>
        <v>3745</v>
      </c>
      <c r="I19" s="22">
        <v>26</v>
      </c>
      <c r="J19" s="22"/>
      <c r="K19" s="22"/>
      <c r="L19" s="22"/>
      <c r="M19" s="22"/>
      <c r="N19" s="22"/>
      <c r="O19" s="22"/>
      <c r="P19" s="106"/>
      <c r="Q19" s="3"/>
      <c r="R19" s="3"/>
      <c r="S19" s="3"/>
    </row>
    <row r="20" spans="1:19" hidden="1" x14ac:dyDescent="0.2">
      <c r="A20" s="3">
        <v>13</v>
      </c>
      <c r="B20" s="3" t="s">
        <v>130</v>
      </c>
      <c r="C20" s="3" t="s">
        <v>31</v>
      </c>
      <c r="D20" s="3" t="s">
        <v>104</v>
      </c>
      <c r="E20" s="22">
        <f t="shared" si="0"/>
        <v>3100000</v>
      </c>
      <c r="F20" s="28" t="s">
        <v>234</v>
      </c>
      <c r="G20" s="28">
        <v>1</v>
      </c>
      <c r="H20" s="22">
        <f>SUMIFS(Sheet2!$C$1:$C$81,Sheet2!$A$1:$A$81,BLuong!F20,Sheet2!$B$1:$B$81,BLuong!G20)</f>
        <v>3745</v>
      </c>
      <c r="I20" s="22">
        <v>26</v>
      </c>
      <c r="J20" s="22"/>
      <c r="K20" s="22"/>
      <c r="L20" s="22"/>
      <c r="M20" s="22"/>
      <c r="N20" s="22"/>
      <c r="O20" s="22"/>
      <c r="P20" s="106"/>
      <c r="Q20" s="3"/>
      <c r="R20" s="3"/>
      <c r="S20" s="3"/>
    </row>
    <row r="21" spans="1:19" hidden="1" x14ac:dyDescent="0.2">
      <c r="A21" s="3">
        <v>14</v>
      </c>
      <c r="B21" s="3" t="s">
        <v>131</v>
      </c>
      <c r="C21" s="3" t="s">
        <v>32</v>
      </c>
      <c r="D21" s="3" t="s">
        <v>104</v>
      </c>
      <c r="E21" s="22">
        <f t="shared" si="0"/>
        <v>3100000</v>
      </c>
      <c r="F21" s="28" t="s">
        <v>234</v>
      </c>
      <c r="G21" s="28">
        <v>1</v>
      </c>
      <c r="H21" s="22">
        <f>SUMIFS(Sheet2!$C$1:$C$81,Sheet2!$A$1:$A$81,BLuong!F21,Sheet2!$B$1:$B$81,BLuong!G21)</f>
        <v>3745</v>
      </c>
      <c r="I21" s="22">
        <v>26</v>
      </c>
      <c r="J21" s="22"/>
      <c r="K21" s="22"/>
      <c r="L21" s="22"/>
      <c r="M21" s="22"/>
      <c r="N21" s="22"/>
      <c r="O21" s="22"/>
      <c r="P21" s="106"/>
      <c r="Q21" s="3"/>
      <c r="R21" s="3"/>
      <c r="S21" s="3"/>
    </row>
    <row r="22" spans="1:19" hidden="1" x14ac:dyDescent="0.2">
      <c r="A22" s="3">
        <v>15</v>
      </c>
      <c r="B22" s="3" t="s">
        <v>132</v>
      </c>
      <c r="C22" s="3" t="s">
        <v>33</v>
      </c>
      <c r="D22" s="3" t="s">
        <v>104</v>
      </c>
      <c r="E22" s="22">
        <f t="shared" si="0"/>
        <v>3100000</v>
      </c>
      <c r="F22" s="28" t="s">
        <v>234</v>
      </c>
      <c r="G22" s="28">
        <v>1</v>
      </c>
      <c r="H22" s="22">
        <f>SUMIFS(Sheet2!$C$1:$C$81,Sheet2!$A$1:$A$81,BLuong!F22,Sheet2!$B$1:$B$81,BLuong!G22)</f>
        <v>3745</v>
      </c>
      <c r="I22" s="22">
        <v>26</v>
      </c>
      <c r="J22" s="22"/>
      <c r="K22" s="22"/>
      <c r="L22" s="22"/>
      <c r="M22" s="22"/>
      <c r="N22" s="22"/>
      <c r="O22" s="22"/>
      <c r="P22" s="106"/>
      <c r="Q22" s="3"/>
      <c r="R22" s="3"/>
      <c r="S22" s="3"/>
    </row>
    <row r="23" spans="1:19" s="2" customFormat="1" ht="22.5" hidden="1" x14ac:dyDescent="0.2">
      <c r="A23" s="23" t="s">
        <v>12</v>
      </c>
      <c r="B23" s="23"/>
      <c r="C23" s="23" t="s">
        <v>13</v>
      </c>
      <c r="D23" s="23"/>
      <c r="E23" s="25">
        <f t="shared" si="0"/>
        <v>3100000</v>
      </c>
      <c r="F23" s="29"/>
      <c r="G23" s="29"/>
      <c r="H23" s="34"/>
      <c r="I23" s="34"/>
      <c r="J23" s="34"/>
      <c r="K23" s="34"/>
      <c r="L23" s="34"/>
      <c r="M23" s="34"/>
      <c r="N23" s="34"/>
      <c r="O23" s="34"/>
      <c r="P23" s="34"/>
      <c r="Q23" s="23"/>
      <c r="R23" s="23"/>
      <c r="S23" s="23"/>
    </row>
    <row r="24" spans="1:19" hidden="1" x14ac:dyDescent="0.2">
      <c r="A24" s="3">
        <v>16</v>
      </c>
      <c r="B24" s="3" t="s">
        <v>133</v>
      </c>
      <c r="C24" s="3" t="s">
        <v>34</v>
      </c>
      <c r="D24" s="3" t="s">
        <v>117</v>
      </c>
      <c r="E24" s="22">
        <f t="shared" si="0"/>
        <v>3100000</v>
      </c>
      <c r="F24" s="28" t="s">
        <v>211</v>
      </c>
      <c r="G24" s="28">
        <v>1</v>
      </c>
      <c r="H24" s="22">
        <f>SUMIFS(Sheet2!$C$1:$C$81,Sheet2!$A$1:$A$81,BLuong!F24,Sheet2!$B$1:$B$81,BLuong!G24)</f>
        <v>5617.5</v>
      </c>
      <c r="I24" s="22">
        <v>26</v>
      </c>
      <c r="J24" s="22"/>
      <c r="K24" s="22"/>
      <c r="L24" s="22"/>
      <c r="M24" s="22"/>
      <c r="N24" s="22"/>
      <c r="O24" s="22"/>
      <c r="P24" s="106"/>
      <c r="Q24" s="3"/>
      <c r="R24" s="3"/>
      <c r="S24" s="3"/>
    </row>
    <row r="25" spans="1:19" ht="22.5" hidden="1" x14ac:dyDescent="0.2">
      <c r="A25" s="3">
        <v>17</v>
      </c>
      <c r="B25" s="3" t="s">
        <v>134</v>
      </c>
      <c r="C25" s="3" t="s">
        <v>35</v>
      </c>
      <c r="D25" s="3" t="s">
        <v>117</v>
      </c>
      <c r="E25" s="22">
        <f t="shared" si="0"/>
        <v>3100000</v>
      </c>
      <c r="F25" s="28" t="s">
        <v>211</v>
      </c>
      <c r="G25" s="28">
        <v>1</v>
      </c>
      <c r="H25" s="22">
        <f>SUMIFS(Sheet2!$C$1:$C$81,Sheet2!$A$1:$A$81,BLuong!F25,Sheet2!$B$1:$B$81,BLuong!G25)</f>
        <v>5617.5</v>
      </c>
      <c r="I25" s="22">
        <v>26</v>
      </c>
      <c r="J25" s="22"/>
      <c r="K25" s="22"/>
      <c r="L25" s="22"/>
      <c r="M25" s="22"/>
      <c r="N25" s="22"/>
      <c r="O25" s="22"/>
      <c r="P25" s="106"/>
      <c r="Q25" s="3"/>
      <c r="R25" s="3"/>
      <c r="S25" s="3"/>
    </row>
    <row r="26" spans="1:19" hidden="1" x14ac:dyDescent="0.2">
      <c r="A26" s="3">
        <v>18</v>
      </c>
      <c r="B26" s="3" t="s">
        <v>135</v>
      </c>
      <c r="C26" s="3" t="s">
        <v>36</v>
      </c>
      <c r="D26" s="3" t="s">
        <v>117</v>
      </c>
      <c r="E26" s="22">
        <f t="shared" si="0"/>
        <v>3100000</v>
      </c>
      <c r="F26" s="28" t="s">
        <v>211</v>
      </c>
      <c r="G26" s="28">
        <v>1</v>
      </c>
      <c r="H26" s="22">
        <f>SUMIFS(Sheet2!$C$1:$C$81,Sheet2!$A$1:$A$81,BLuong!F26,Sheet2!$B$1:$B$81,BLuong!G26)</f>
        <v>5617.5</v>
      </c>
      <c r="I26" s="22">
        <v>26</v>
      </c>
      <c r="J26" s="22"/>
      <c r="K26" s="22"/>
      <c r="L26" s="22"/>
      <c r="M26" s="22"/>
      <c r="N26" s="22"/>
      <c r="O26" s="22"/>
      <c r="P26" s="106"/>
      <c r="Q26" s="3"/>
      <c r="R26" s="3"/>
      <c r="S26" s="3"/>
    </row>
    <row r="27" spans="1:19" s="2" customFormat="1" hidden="1" x14ac:dyDescent="0.2">
      <c r="A27" s="23" t="s">
        <v>10</v>
      </c>
      <c r="B27" s="23"/>
      <c r="C27" s="23" t="s">
        <v>11</v>
      </c>
      <c r="D27" s="23"/>
      <c r="E27" s="25">
        <f t="shared" si="0"/>
        <v>3100000</v>
      </c>
      <c r="F27" s="29"/>
      <c r="G27" s="29"/>
      <c r="H27" s="34"/>
      <c r="I27" s="34"/>
      <c r="J27" s="34"/>
      <c r="K27" s="34"/>
      <c r="L27" s="34"/>
      <c r="M27" s="34"/>
      <c r="N27" s="34"/>
      <c r="O27" s="34"/>
      <c r="P27" s="34"/>
      <c r="Q27" s="23"/>
      <c r="R27" s="23"/>
      <c r="S27" s="23"/>
    </row>
    <row r="28" spans="1:19" ht="22.5" hidden="1" x14ac:dyDescent="0.2">
      <c r="A28" s="3">
        <v>19</v>
      </c>
      <c r="B28" s="3" t="s">
        <v>136</v>
      </c>
      <c r="C28" s="3" t="s">
        <v>38</v>
      </c>
      <c r="D28" s="3" t="s">
        <v>105</v>
      </c>
      <c r="E28" s="22">
        <f t="shared" si="0"/>
        <v>3100000</v>
      </c>
      <c r="F28" s="28" t="s">
        <v>208</v>
      </c>
      <c r="G28" s="28">
        <v>1</v>
      </c>
      <c r="H28" s="22">
        <f>SUMIFS(Sheet2!$C$1:$C$81,Sheet2!$A$1:$A$81,BLuong!F28,Sheet2!$B$1:$B$81,BLuong!G28)</f>
        <v>7490</v>
      </c>
      <c r="I28" s="22">
        <v>26</v>
      </c>
      <c r="J28" s="22"/>
      <c r="K28" s="22"/>
      <c r="L28" s="22"/>
      <c r="M28" s="22"/>
      <c r="N28" s="22"/>
      <c r="O28" s="22"/>
      <c r="P28" s="106"/>
      <c r="Q28" s="3"/>
      <c r="R28" s="3"/>
      <c r="S28" s="3"/>
    </row>
    <row r="29" spans="1:19" hidden="1" x14ac:dyDescent="0.2">
      <c r="A29" s="3">
        <v>20</v>
      </c>
      <c r="B29" s="3" t="s">
        <v>137</v>
      </c>
      <c r="C29" s="3" t="s">
        <v>39</v>
      </c>
      <c r="D29" s="3" t="s">
        <v>106</v>
      </c>
      <c r="E29" s="22">
        <f t="shared" si="0"/>
        <v>3100000</v>
      </c>
      <c r="F29" s="28" t="s">
        <v>234</v>
      </c>
      <c r="G29" s="28">
        <v>1</v>
      </c>
      <c r="H29" s="22">
        <f>SUMIFS(Sheet2!$C$1:$C$81,Sheet2!$A$1:$A$81,BLuong!F29,Sheet2!$B$1:$B$81,BLuong!G29)</f>
        <v>3745</v>
      </c>
      <c r="I29" s="22">
        <v>26</v>
      </c>
      <c r="J29" s="22"/>
      <c r="K29" s="22"/>
      <c r="L29" s="22"/>
      <c r="M29" s="22"/>
      <c r="N29" s="22"/>
      <c r="O29" s="22"/>
      <c r="P29" s="106"/>
      <c r="Q29" s="3"/>
      <c r="R29" s="3"/>
      <c r="S29" s="3"/>
    </row>
    <row r="30" spans="1:19" hidden="1" x14ac:dyDescent="0.2">
      <c r="A30" s="3">
        <v>21</v>
      </c>
      <c r="B30" s="3" t="s">
        <v>138</v>
      </c>
      <c r="C30" s="3" t="s">
        <v>107</v>
      </c>
      <c r="D30" s="3" t="s">
        <v>108</v>
      </c>
      <c r="E30" s="22">
        <f t="shared" si="0"/>
        <v>3100000</v>
      </c>
      <c r="F30" s="28" t="s">
        <v>210</v>
      </c>
      <c r="G30" s="28">
        <v>1</v>
      </c>
      <c r="H30" s="22">
        <f>SUMIFS(Sheet2!$C$1:$C$81,Sheet2!$A$1:$A$81,BLuong!F30,Sheet2!$B$1:$B$81,BLuong!G30)</f>
        <v>6366.5</v>
      </c>
      <c r="I30" s="22">
        <v>26</v>
      </c>
      <c r="J30" s="22"/>
      <c r="K30" s="22"/>
      <c r="L30" s="22"/>
      <c r="M30" s="22"/>
      <c r="N30" s="22"/>
      <c r="O30" s="22"/>
      <c r="P30" s="106"/>
      <c r="Q30" s="3"/>
      <c r="R30" s="3"/>
      <c r="S30" s="3"/>
    </row>
    <row r="31" spans="1:19" hidden="1" x14ac:dyDescent="0.2">
      <c r="A31" s="3">
        <v>22</v>
      </c>
      <c r="B31" s="3" t="s">
        <v>139</v>
      </c>
      <c r="C31" s="3" t="s">
        <v>40</v>
      </c>
      <c r="D31" s="3" t="s">
        <v>109</v>
      </c>
      <c r="E31" s="22">
        <f t="shared" si="0"/>
        <v>3100000</v>
      </c>
      <c r="F31" s="28" t="s">
        <v>233</v>
      </c>
      <c r="G31" s="28">
        <v>1</v>
      </c>
      <c r="H31" s="22">
        <f>SUMIFS(Sheet2!$C$1:$C$81,Sheet2!$A$1:$A$81,BLuong!F31,Sheet2!$B$1:$B$81,BLuong!G31)</f>
        <v>3745</v>
      </c>
      <c r="I31" s="22">
        <v>26</v>
      </c>
      <c r="J31" s="22"/>
      <c r="K31" s="22"/>
      <c r="L31" s="22"/>
      <c r="M31" s="22"/>
      <c r="N31" s="22"/>
      <c r="O31" s="22"/>
      <c r="P31" s="106"/>
      <c r="Q31" s="3"/>
      <c r="R31" s="3"/>
      <c r="S31" s="3"/>
    </row>
    <row r="32" spans="1:19" hidden="1" x14ac:dyDescent="0.2">
      <c r="A32" s="3">
        <v>23</v>
      </c>
      <c r="B32" s="3" t="s">
        <v>140</v>
      </c>
      <c r="C32" s="3" t="s">
        <v>41</v>
      </c>
      <c r="D32" s="3" t="s">
        <v>109</v>
      </c>
      <c r="E32" s="22">
        <f t="shared" si="0"/>
        <v>3100000</v>
      </c>
      <c r="F32" s="28" t="s">
        <v>233</v>
      </c>
      <c r="G32" s="28">
        <v>1</v>
      </c>
      <c r="H32" s="22">
        <f>SUMIFS(Sheet2!$C$1:$C$81,Sheet2!$A$1:$A$81,BLuong!F32,Sheet2!$B$1:$B$81,BLuong!G32)</f>
        <v>3745</v>
      </c>
      <c r="I32" s="22">
        <v>26</v>
      </c>
      <c r="J32" s="22"/>
      <c r="K32" s="22"/>
      <c r="L32" s="22"/>
      <c r="M32" s="22"/>
      <c r="N32" s="22"/>
      <c r="O32" s="22"/>
      <c r="P32" s="106"/>
      <c r="Q32" s="3"/>
      <c r="R32" s="3"/>
      <c r="S32" s="3"/>
    </row>
    <row r="33" spans="1:19" hidden="1" x14ac:dyDescent="0.2">
      <c r="A33" s="3">
        <v>24</v>
      </c>
      <c r="B33" s="3" t="s">
        <v>141</v>
      </c>
      <c r="C33" s="3" t="s">
        <v>42</v>
      </c>
      <c r="D33" s="3" t="s">
        <v>109</v>
      </c>
      <c r="E33" s="22">
        <f t="shared" si="0"/>
        <v>3100000</v>
      </c>
      <c r="F33" s="28" t="s">
        <v>233</v>
      </c>
      <c r="G33" s="28">
        <v>1</v>
      </c>
      <c r="H33" s="22">
        <f>SUMIFS(Sheet2!$C$1:$C$81,Sheet2!$A$1:$A$81,BLuong!F33,Sheet2!$B$1:$B$81,BLuong!G33)</f>
        <v>3745</v>
      </c>
      <c r="I33" s="22">
        <v>26</v>
      </c>
      <c r="J33" s="22"/>
      <c r="K33" s="22"/>
      <c r="L33" s="22"/>
      <c r="M33" s="22"/>
      <c r="N33" s="22"/>
      <c r="O33" s="22"/>
      <c r="P33" s="106"/>
      <c r="Q33" s="3"/>
      <c r="R33" s="3"/>
      <c r="S33" s="3"/>
    </row>
    <row r="34" spans="1:19" hidden="1" x14ac:dyDescent="0.2">
      <c r="A34" s="3">
        <v>25</v>
      </c>
      <c r="B34" s="3" t="s">
        <v>142</v>
      </c>
      <c r="C34" s="3" t="s">
        <v>43</v>
      </c>
      <c r="D34" s="3" t="s">
        <v>109</v>
      </c>
      <c r="E34" s="22">
        <f t="shared" si="0"/>
        <v>3100000</v>
      </c>
      <c r="F34" s="28" t="s">
        <v>233</v>
      </c>
      <c r="G34" s="28">
        <v>1</v>
      </c>
      <c r="H34" s="22">
        <f>SUMIFS(Sheet2!$C$1:$C$81,Sheet2!$A$1:$A$81,BLuong!F34,Sheet2!$B$1:$B$81,BLuong!G34)</f>
        <v>3745</v>
      </c>
      <c r="I34" s="22">
        <v>26</v>
      </c>
      <c r="J34" s="22"/>
      <c r="K34" s="22"/>
      <c r="L34" s="22"/>
      <c r="M34" s="22"/>
      <c r="N34" s="22"/>
      <c r="O34" s="22"/>
      <c r="P34" s="106"/>
      <c r="Q34" s="3"/>
      <c r="R34" s="3"/>
      <c r="S34" s="3"/>
    </row>
    <row r="35" spans="1:19" hidden="1" x14ac:dyDescent="0.2">
      <c r="A35" s="3">
        <v>26</v>
      </c>
      <c r="B35" s="3" t="s">
        <v>143</v>
      </c>
      <c r="C35" s="3" t="s">
        <v>110</v>
      </c>
      <c r="D35" s="3" t="s">
        <v>113</v>
      </c>
      <c r="E35" s="22">
        <f t="shared" si="0"/>
        <v>3100000</v>
      </c>
      <c r="F35" s="28" t="s">
        <v>210</v>
      </c>
      <c r="G35" s="28">
        <v>1</v>
      </c>
      <c r="H35" s="22">
        <f>SUMIFS(Sheet2!$C$1:$C$81,Sheet2!$A$1:$A$81,BLuong!F35,Sheet2!$B$1:$B$81,BLuong!G35)</f>
        <v>6366.5</v>
      </c>
      <c r="I35" s="22">
        <v>26</v>
      </c>
      <c r="J35" s="22"/>
      <c r="K35" s="22"/>
      <c r="L35" s="22"/>
      <c r="M35" s="22"/>
      <c r="N35" s="22"/>
      <c r="O35" s="22"/>
      <c r="P35" s="106"/>
      <c r="Q35" s="3"/>
      <c r="R35" s="3"/>
      <c r="S35" s="3"/>
    </row>
    <row r="36" spans="1:19" hidden="1" x14ac:dyDescent="0.2">
      <c r="A36" s="3">
        <v>27</v>
      </c>
      <c r="B36" s="3" t="s">
        <v>144</v>
      </c>
      <c r="C36" s="3" t="s">
        <v>44</v>
      </c>
      <c r="D36" s="3" t="s">
        <v>114</v>
      </c>
      <c r="E36" s="22">
        <f t="shared" si="0"/>
        <v>3100000</v>
      </c>
      <c r="F36" s="28" t="s">
        <v>233</v>
      </c>
      <c r="G36" s="28">
        <v>1</v>
      </c>
      <c r="H36" s="22">
        <f>SUMIFS(Sheet2!$C$1:$C$81,Sheet2!$A$1:$A$81,BLuong!F36,Sheet2!$B$1:$B$81,BLuong!G36)</f>
        <v>3745</v>
      </c>
      <c r="I36" s="22">
        <v>26</v>
      </c>
      <c r="J36" s="22"/>
      <c r="K36" s="22"/>
      <c r="L36" s="22"/>
      <c r="M36" s="22"/>
      <c r="N36" s="22"/>
      <c r="O36" s="22"/>
      <c r="P36" s="106"/>
      <c r="Q36" s="3"/>
      <c r="R36" s="3"/>
      <c r="S36" s="3"/>
    </row>
    <row r="37" spans="1:19" hidden="1" x14ac:dyDescent="0.2">
      <c r="A37" s="3">
        <v>28</v>
      </c>
      <c r="B37" s="3" t="s">
        <v>145</v>
      </c>
      <c r="C37" s="3" t="s">
        <v>45</v>
      </c>
      <c r="D37" s="3" t="s">
        <v>114</v>
      </c>
      <c r="E37" s="22">
        <f t="shared" si="0"/>
        <v>3100000</v>
      </c>
      <c r="F37" s="28" t="s">
        <v>212</v>
      </c>
      <c r="G37" s="28">
        <v>1</v>
      </c>
      <c r="H37" s="22">
        <f>SUMIFS(Sheet2!$C$1:$C$81,Sheet2!$A$1:$A$81,BLuong!F37,Sheet2!$B$1:$B$81,BLuong!G37)</f>
        <v>3745</v>
      </c>
      <c r="I37" s="22">
        <v>26</v>
      </c>
      <c r="J37" s="22"/>
      <c r="K37" s="22"/>
      <c r="L37" s="22"/>
      <c r="M37" s="22"/>
      <c r="N37" s="22"/>
      <c r="O37" s="22"/>
      <c r="P37" s="106"/>
      <c r="Q37" s="3"/>
      <c r="R37" s="3"/>
      <c r="S37" s="3"/>
    </row>
    <row r="38" spans="1:19" hidden="1" x14ac:dyDescent="0.2">
      <c r="A38" s="3">
        <v>29</v>
      </c>
      <c r="B38" s="3" t="s">
        <v>146</v>
      </c>
      <c r="C38" s="3" t="s">
        <v>46</v>
      </c>
      <c r="D38" s="3" t="s">
        <v>114</v>
      </c>
      <c r="E38" s="22">
        <f t="shared" si="0"/>
        <v>3100000</v>
      </c>
      <c r="F38" s="28" t="s">
        <v>212</v>
      </c>
      <c r="G38" s="28">
        <v>1</v>
      </c>
      <c r="H38" s="22">
        <f>SUMIFS(Sheet2!$C$1:$C$81,Sheet2!$A$1:$A$81,BLuong!F38,Sheet2!$B$1:$B$81,BLuong!G38)</f>
        <v>3745</v>
      </c>
      <c r="I38" s="22">
        <v>26</v>
      </c>
      <c r="J38" s="22"/>
      <c r="K38" s="22"/>
      <c r="L38" s="22"/>
      <c r="M38" s="22"/>
      <c r="N38" s="22"/>
      <c r="O38" s="22"/>
      <c r="P38" s="106"/>
      <c r="Q38" s="3"/>
      <c r="R38" s="3"/>
      <c r="S38" s="3"/>
    </row>
    <row r="39" spans="1:19" hidden="1" x14ac:dyDescent="0.2">
      <c r="A39" s="3">
        <v>30</v>
      </c>
      <c r="B39" s="3" t="s">
        <v>147</v>
      </c>
      <c r="C39" s="3" t="s">
        <v>47</v>
      </c>
      <c r="D39" s="3" t="s">
        <v>114</v>
      </c>
      <c r="E39" s="22">
        <f t="shared" si="0"/>
        <v>3100000</v>
      </c>
      <c r="F39" s="28" t="s">
        <v>212</v>
      </c>
      <c r="G39" s="28">
        <v>1</v>
      </c>
      <c r="H39" s="22">
        <f>SUMIFS(Sheet2!$C$1:$C$81,Sheet2!$A$1:$A$81,BLuong!F39,Sheet2!$B$1:$B$81,BLuong!G39)</f>
        <v>3745</v>
      </c>
      <c r="I39" s="22">
        <v>26</v>
      </c>
      <c r="J39" s="22"/>
      <c r="K39" s="22"/>
      <c r="L39" s="22"/>
      <c r="M39" s="22"/>
      <c r="N39" s="22"/>
      <c r="O39" s="22"/>
      <c r="P39" s="106"/>
      <c r="Q39" s="3"/>
      <c r="R39" s="3"/>
      <c r="S39" s="3"/>
    </row>
    <row r="40" spans="1:19" hidden="1" x14ac:dyDescent="0.2">
      <c r="A40" s="3">
        <v>31</v>
      </c>
      <c r="B40" s="3" t="s">
        <v>148</v>
      </c>
      <c r="C40" s="3" t="s">
        <v>48</v>
      </c>
      <c r="D40" s="3" t="s">
        <v>114</v>
      </c>
      <c r="E40" s="22">
        <f t="shared" si="0"/>
        <v>3100000</v>
      </c>
      <c r="F40" s="28" t="s">
        <v>212</v>
      </c>
      <c r="G40" s="28">
        <v>1</v>
      </c>
      <c r="H40" s="22">
        <f>SUMIFS(Sheet2!$C$1:$C$81,Sheet2!$A$1:$A$81,BLuong!F40,Sheet2!$B$1:$B$81,BLuong!G40)</f>
        <v>3745</v>
      </c>
      <c r="I40" s="22">
        <v>26</v>
      </c>
      <c r="J40" s="22"/>
      <c r="K40" s="22"/>
      <c r="L40" s="22"/>
      <c r="M40" s="22"/>
      <c r="N40" s="22"/>
      <c r="O40" s="22"/>
      <c r="P40" s="106"/>
      <c r="Q40" s="3"/>
      <c r="R40" s="3"/>
      <c r="S40" s="3"/>
    </row>
    <row r="41" spans="1:19" hidden="1" x14ac:dyDescent="0.2">
      <c r="A41" s="3">
        <v>32</v>
      </c>
      <c r="B41" s="3" t="s">
        <v>149</v>
      </c>
      <c r="C41" s="3" t="s">
        <v>111</v>
      </c>
      <c r="D41" s="3" t="s">
        <v>112</v>
      </c>
      <c r="E41" s="22">
        <f t="shared" si="0"/>
        <v>3100000</v>
      </c>
      <c r="F41" s="28" t="s">
        <v>210</v>
      </c>
      <c r="G41" s="28">
        <v>1</v>
      </c>
      <c r="H41" s="22">
        <f>SUMIFS(Sheet2!$C$1:$C$81,Sheet2!$A$1:$A$81,BLuong!F41,Sheet2!$B$1:$B$81,BLuong!G41)</f>
        <v>6366.5</v>
      </c>
      <c r="I41" s="22">
        <v>26</v>
      </c>
      <c r="J41" s="22"/>
      <c r="K41" s="22"/>
      <c r="L41" s="22"/>
      <c r="M41" s="22"/>
      <c r="N41" s="22"/>
      <c r="O41" s="22"/>
      <c r="P41" s="106"/>
      <c r="Q41" s="3"/>
      <c r="R41" s="3"/>
      <c r="S41" s="3"/>
    </row>
    <row r="42" spans="1:19" hidden="1" x14ac:dyDescent="0.2">
      <c r="A42" s="3">
        <v>33</v>
      </c>
      <c r="B42" s="3" t="s">
        <v>150</v>
      </c>
      <c r="C42" s="3" t="s">
        <v>49</v>
      </c>
      <c r="D42" s="3" t="s">
        <v>115</v>
      </c>
      <c r="E42" s="22">
        <f t="shared" si="0"/>
        <v>3100000</v>
      </c>
      <c r="F42" s="28" t="s">
        <v>235</v>
      </c>
      <c r="G42" s="28">
        <v>1</v>
      </c>
      <c r="H42" s="22">
        <f>SUMIFS(Sheet2!$C$1:$C$81,Sheet2!$A$1:$A$81,BLuong!F42,Sheet2!$B$1:$B$81,BLuong!G42)</f>
        <v>3745</v>
      </c>
      <c r="I42" s="22">
        <v>26</v>
      </c>
      <c r="J42" s="22"/>
      <c r="K42" s="22"/>
      <c r="L42" s="22"/>
      <c r="M42" s="22"/>
      <c r="N42" s="22"/>
      <c r="O42" s="22"/>
      <c r="P42" s="106"/>
      <c r="Q42" s="3"/>
      <c r="R42" s="3"/>
      <c r="S42" s="3"/>
    </row>
    <row r="43" spans="1:19" hidden="1" x14ac:dyDescent="0.2">
      <c r="A43" s="3">
        <v>34</v>
      </c>
      <c r="B43" s="3" t="s">
        <v>151</v>
      </c>
      <c r="C43" s="3" t="s">
        <v>50</v>
      </c>
      <c r="D43" s="3" t="s">
        <v>115</v>
      </c>
      <c r="E43" s="22">
        <f t="shared" si="0"/>
        <v>3100000</v>
      </c>
      <c r="F43" s="28" t="s">
        <v>235</v>
      </c>
      <c r="G43" s="28">
        <v>1</v>
      </c>
      <c r="H43" s="22">
        <f>SUMIFS(Sheet2!$C$1:$C$81,Sheet2!$A$1:$A$81,BLuong!F43,Sheet2!$B$1:$B$81,BLuong!G43)</f>
        <v>3745</v>
      </c>
      <c r="I43" s="22">
        <v>26</v>
      </c>
      <c r="J43" s="22"/>
      <c r="K43" s="22"/>
      <c r="L43" s="22"/>
      <c r="M43" s="22"/>
      <c r="N43" s="22"/>
      <c r="O43" s="22"/>
      <c r="P43" s="106"/>
      <c r="Q43" s="3"/>
      <c r="R43" s="3"/>
      <c r="S43" s="3"/>
    </row>
    <row r="44" spans="1:19" hidden="1" x14ac:dyDescent="0.2">
      <c r="A44" s="3">
        <v>35</v>
      </c>
      <c r="B44" s="3" t="s">
        <v>152</v>
      </c>
      <c r="C44" s="3" t="s">
        <v>51</v>
      </c>
      <c r="D44" s="3" t="s">
        <v>115</v>
      </c>
      <c r="E44" s="22">
        <f t="shared" si="0"/>
        <v>3100000</v>
      </c>
      <c r="F44" s="28" t="s">
        <v>235</v>
      </c>
      <c r="G44" s="28">
        <v>1</v>
      </c>
      <c r="H44" s="22">
        <f>SUMIFS(Sheet2!$C$1:$C$81,Sheet2!$A$1:$A$81,BLuong!F44,Sheet2!$B$1:$B$81,BLuong!G44)</f>
        <v>3745</v>
      </c>
      <c r="I44" s="22">
        <v>26</v>
      </c>
      <c r="J44" s="22"/>
      <c r="K44" s="22"/>
      <c r="L44" s="22"/>
      <c r="M44" s="22"/>
      <c r="N44" s="22"/>
      <c r="O44" s="22"/>
      <c r="P44" s="106"/>
      <c r="Q44" s="3"/>
      <c r="R44" s="3"/>
      <c r="S44" s="3"/>
    </row>
    <row r="45" spans="1:19" hidden="1" x14ac:dyDescent="0.2">
      <c r="A45" s="3">
        <v>36</v>
      </c>
      <c r="B45" s="3" t="s">
        <v>153</v>
      </c>
      <c r="C45" s="3" t="s">
        <v>52</v>
      </c>
      <c r="D45" s="3" t="s">
        <v>115</v>
      </c>
      <c r="E45" s="22">
        <f t="shared" si="0"/>
        <v>3100000</v>
      </c>
      <c r="F45" s="28" t="s">
        <v>235</v>
      </c>
      <c r="G45" s="28">
        <v>1</v>
      </c>
      <c r="H45" s="22">
        <f>SUMIFS(Sheet2!$C$1:$C$81,Sheet2!$A$1:$A$81,BLuong!F45,Sheet2!$B$1:$B$81,BLuong!G45)</f>
        <v>3745</v>
      </c>
      <c r="I45" s="22">
        <v>26</v>
      </c>
      <c r="J45" s="22"/>
      <c r="K45" s="22"/>
      <c r="L45" s="22"/>
      <c r="M45" s="22"/>
      <c r="N45" s="22"/>
      <c r="O45" s="22"/>
      <c r="P45" s="106"/>
      <c r="Q45" s="3"/>
      <c r="R45" s="3"/>
      <c r="S45" s="3"/>
    </row>
    <row r="46" spans="1:19" hidden="1" x14ac:dyDescent="0.2">
      <c r="A46" s="3">
        <v>37</v>
      </c>
      <c r="B46" s="3" t="s">
        <v>154</v>
      </c>
      <c r="C46" s="3" t="s">
        <v>53</v>
      </c>
      <c r="D46" s="3" t="s">
        <v>115</v>
      </c>
      <c r="E46" s="22">
        <f t="shared" si="0"/>
        <v>3100000</v>
      </c>
      <c r="F46" s="28" t="s">
        <v>235</v>
      </c>
      <c r="G46" s="28">
        <v>1</v>
      </c>
      <c r="H46" s="22">
        <f>SUMIFS(Sheet2!$C$1:$C$81,Sheet2!$A$1:$A$81,BLuong!F46,Sheet2!$B$1:$B$81,BLuong!G46)</f>
        <v>3745</v>
      </c>
      <c r="I46" s="22">
        <v>26</v>
      </c>
      <c r="J46" s="22"/>
      <c r="K46" s="22"/>
      <c r="L46" s="22"/>
      <c r="M46" s="22"/>
      <c r="N46" s="22"/>
      <c r="O46" s="22"/>
      <c r="P46" s="106"/>
      <c r="Q46" s="3"/>
      <c r="R46" s="3"/>
      <c r="S46" s="3"/>
    </row>
    <row r="47" spans="1:19" hidden="1" x14ac:dyDescent="0.2">
      <c r="A47" s="3">
        <v>38</v>
      </c>
      <c r="B47" s="3" t="s">
        <v>155</v>
      </c>
      <c r="C47" s="3" t="s">
        <v>54</v>
      </c>
      <c r="D47" s="3" t="s">
        <v>115</v>
      </c>
      <c r="E47" s="22">
        <f t="shared" si="0"/>
        <v>3100000</v>
      </c>
      <c r="F47" s="28" t="s">
        <v>235</v>
      </c>
      <c r="G47" s="28">
        <v>1</v>
      </c>
      <c r="H47" s="22">
        <f>SUMIFS(Sheet2!$C$1:$C$81,Sheet2!$A$1:$A$81,BLuong!F47,Sheet2!$B$1:$B$81,BLuong!G47)</f>
        <v>3745</v>
      </c>
      <c r="I47" s="22">
        <v>26</v>
      </c>
      <c r="J47" s="22"/>
      <c r="K47" s="22"/>
      <c r="L47" s="22"/>
      <c r="M47" s="22"/>
      <c r="N47" s="22"/>
      <c r="O47" s="22"/>
      <c r="P47" s="106"/>
      <c r="Q47" s="3"/>
      <c r="R47" s="3"/>
      <c r="S47" s="3"/>
    </row>
    <row r="48" spans="1:19" hidden="1" x14ac:dyDescent="0.2">
      <c r="A48" s="3">
        <v>39</v>
      </c>
      <c r="B48" s="3" t="s">
        <v>156</v>
      </c>
      <c r="C48" s="3" t="s">
        <v>55</v>
      </c>
      <c r="D48" s="3" t="s">
        <v>115</v>
      </c>
      <c r="E48" s="22">
        <f t="shared" si="0"/>
        <v>3100000</v>
      </c>
      <c r="F48" s="28" t="s">
        <v>235</v>
      </c>
      <c r="G48" s="28">
        <v>1</v>
      </c>
      <c r="H48" s="22">
        <f>SUMIFS(Sheet2!$C$1:$C$81,Sheet2!$A$1:$A$81,BLuong!F48,Sheet2!$B$1:$B$81,BLuong!G48)</f>
        <v>3745</v>
      </c>
      <c r="I48" s="22">
        <v>26</v>
      </c>
      <c r="J48" s="22"/>
      <c r="K48" s="22"/>
      <c r="L48" s="22"/>
      <c r="M48" s="22"/>
      <c r="N48" s="22"/>
      <c r="O48" s="22"/>
      <c r="P48" s="106"/>
      <c r="Q48" s="3"/>
      <c r="R48" s="3"/>
      <c r="S48" s="3"/>
    </row>
    <row r="49" spans="1:19" hidden="1" x14ac:dyDescent="0.2">
      <c r="A49" s="3">
        <v>40</v>
      </c>
      <c r="B49" s="3" t="s">
        <v>157</v>
      </c>
      <c r="C49" s="3" t="s">
        <v>56</v>
      </c>
      <c r="D49" s="3" t="s">
        <v>116</v>
      </c>
      <c r="E49" s="22">
        <f t="shared" si="0"/>
        <v>3100000</v>
      </c>
      <c r="F49" s="28" t="s">
        <v>235</v>
      </c>
      <c r="G49" s="28">
        <v>1</v>
      </c>
      <c r="H49" s="22">
        <f>SUMIFS(Sheet2!$C$1:$C$81,Sheet2!$A$1:$A$81,BLuong!F49,Sheet2!$B$1:$B$81,BLuong!G49)</f>
        <v>3745</v>
      </c>
      <c r="I49" s="22">
        <v>26</v>
      </c>
      <c r="J49" s="22"/>
      <c r="K49" s="22"/>
      <c r="L49" s="22"/>
      <c r="M49" s="22"/>
      <c r="N49" s="22"/>
      <c r="O49" s="22"/>
      <c r="P49" s="106"/>
      <c r="Q49" s="3"/>
      <c r="R49" s="3"/>
      <c r="S49" s="3"/>
    </row>
    <row r="50" spans="1:19" hidden="1" x14ac:dyDescent="0.2">
      <c r="A50" s="3">
        <v>41</v>
      </c>
      <c r="B50" s="3" t="s">
        <v>158</v>
      </c>
      <c r="C50" s="3" t="s">
        <v>57</v>
      </c>
      <c r="D50" s="3" t="s">
        <v>116</v>
      </c>
      <c r="E50" s="22">
        <f t="shared" si="0"/>
        <v>3100000</v>
      </c>
      <c r="F50" s="28" t="s">
        <v>235</v>
      </c>
      <c r="G50" s="28">
        <v>1</v>
      </c>
      <c r="H50" s="22">
        <f>SUMIFS(Sheet2!$C$1:$C$81,Sheet2!$A$1:$A$81,BLuong!F50,Sheet2!$B$1:$B$81,BLuong!G50)</f>
        <v>3745</v>
      </c>
      <c r="I50" s="22">
        <v>26</v>
      </c>
      <c r="J50" s="22"/>
      <c r="K50" s="22"/>
      <c r="L50" s="22"/>
      <c r="M50" s="22"/>
      <c r="N50" s="22"/>
      <c r="O50" s="22"/>
      <c r="P50" s="106"/>
      <c r="Q50" s="3"/>
      <c r="R50" s="3"/>
      <c r="S50" s="3"/>
    </row>
    <row r="51" spans="1:19" hidden="1" x14ac:dyDescent="0.2">
      <c r="A51" s="3">
        <v>42</v>
      </c>
      <c r="B51" s="3" t="s">
        <v>159</v>
      </c>
      <c r="C51" s="3" t="s">
        <v>58</v>
      </c>
      <c r="D51" s="3" t="s">
        <v>116</v>
      </c>
      <c r="E51" s="22">
        <f t="shared" si="0"/>
        <v>3100000</v>
      </c>
      <c r="F51" s="28" t="s">
        <v>235</v>
      </c>
      <c r="G51" s="28">
        <v>1</v>
      </c>
      <c r="H51" s="22">
        <f>SUMIFS(Sheet2!$C$1:$C$81,Sheet2!$A$1:$A$81,BLuong!F51,Sheet2!$B$1:$B$81,BLuong!G51)</f>
        <v>3745</v>
      </c>
      <c r="I51" s="22">
        <v>26</v>
      </c>
      <c r="J51" s="22"/>
      <c r="K51" s="22"/>
      <c r="L51" s="22"/>
      <c r="M51" s="22"/>
      <c r="N51" s="22"/>
      <c r="O51" s="22"/>
      <c r="P51" s="106"/>
      <c r="Q51" s="3"/>
      <c r="R51" s="3"/>
      <c r="S51" s="3"/>
    </row>
    <row r="52" spans="1:19" hidden="1" x14ac:dyDescent="0.2">
      <c r="A52" s="3">
        <v>43</v>
      </c>
      <c r="B52" s="3" t="s">
        <v>160</v>
      </c>
      <c r="C52" s="3" t="s">
        <v>59</v>
      </c>
      <c r="D52" s="3" t="s">
        <v>116</v>
      </c>
      <c r="E52" s="22">
        <f t="shared" si="0"/>
        <v>3100000</v>
      </c>
      <c r="F52" s="28" t="s">
        <v>235</v>
      </c>
      <c r="G52" s="28">
        <v>1</v>
      </c>
      <c r="H52" s="22">
        <f>SUMIFS(Sheet2!$C$1:$C$81,Sheet2!$A$1:$A$81,BLuong!F52,Sheet2!$B$1:$B$81,BLuong!G52)</f>
        <v>3745</v>
      </c>
      <c r="I52" s="22">
        <v>26</v>
      </c>
      <c r="J52" s="22"/>
      <c r="K52" s="22"/>
      <c r="L52" s="22"/>
      <c r="M52" s="22"/>
      <c r="N52" s="22"/>
      <c r="O52" s="22"/>
      <c r="P52" s="106"/>
      <c r="Q52" s="3"/>
      <c r="R52" s="3"/>
      <c r="S52" s="3"/>
    </row>
    <row r="53" spans="1:19" hidden="1" x14ac:dyDescent="0.2">
      <c r="A53" s="3">
        <v>44</v>
      </c>
      <c r="B53" s="3" t="s">
        <v>161</v>
      </c>
      <c r="C53" s="3" t="s">
        <v>60</v>
      </c>
      <c r="D53" s="3" t="s">
        <v>116</v>
      </c>
      <c r="E53" s="22">
        <f t="shared" si="0"/>
        <v>3100000</v>
      </c>
      <c r="F53" s="28" t="s">
        <v>235</v>
      </c>
      <c r="G53" s="28">
        <v>1</v>
      </c>
      <c r="H53" s="22">
        <f>SUMIFS(Sheet2!$C$1:$C$81,Sheet2!$A$1:$A$81,BLuong!F53,Sheet2!$B$1:$B$81,BLuong!G53)</f>
        <v>3745</v>
      </c>
      <c r="I53" s="22">
        <v>26</v>
      </c>
      <c r="J53" s="22"/>
      <c r="K53" s="22"/>
      <c r="L53" s="22"/>
      <c r="M53" s="22"/>
      <c r="N53" s="22"/>
      <c r="O53" s="22"/>
      <c r="P53" s="106"/>
      <c r="Q53" s="3"/>
      <c r="R53" s="3"/>
      <c r="S53" s="3"/>
    </row>
    <row r="54" spans="1:19" s="2" customFormat="1" x14ac:dyDescent="0.2">
      <c r="A54" s="23" t="s">
        <v>14</v>
      </c>
      <c r="B54" s="23"/>
      <c r="C54" s="23" t="s">
        <v>15</v>
      </c>
      <c r="D54" s="23"/>
      <c r="E54" s="25">
        <f t="shared" si="0"/>
        <v>3100000</v>
      </c>
      <c r="F54" s="29"/>
      <c r="G54" s="29"/>
      <c r="H54" s="34"/>
      <c r="I54" s="34"/>
      <c r="J54" s="34"/>
      <c r="K54" s="34"/>
      <c r="L54" s="34"/>
      <c r="M54" s="34"/>
      <c r="N54" s="34"/>
      <c r="O54" s="34"/>
      <c r="P54" s="34"/>
      <c r="Q54" s="23"/>
      <c r="R54" s="23"/>
      <c r="S54" s="23"/>
    </row>
    <row r="55" spans="1:19" x14ac:dyDescent="0.2">
      <c r="A55" s="3">
        <v>45</v>
      </c>
      <c r="B55" s="3" t="s">
        <v>162</v>
      </c>
      <c r="C55" s="3" t="s">
        <v>62</v>
      </c>
      <c r="D55" s="3" t="s">
        <v>201</v>
      </c>
      <c r="E55" s="22">
        <f t="shared" si="0"/>
        <v>3100000</v>
      </c>
      <c r="F55" s="28" t="s">
        <v>210</v>
      </c>
      <c r="G55" s="28">
        <v>5</v>
      </c>
      <c r="H55" s="22">
        <f>SUMIFS(Sheet2!$C$1:$C$81,Sheet2!$A$1:$A$81,BLuong!F55,Sheet2!$B$1:$B$81,BLuong!G55)*1000</f>
        <v>10860500</v>
      </c>
      <c r="I55" s="22" t="e">
        <f>VLOOKUP(C55,CC!$C$5:$AJ$49,34,0)</f>
        <v>#N/A</v>
      </c>
      <c r="J55" s="22"/>
      <c r="K55" s="22"/>
      <c r="L55" s="22"/>
      <c r="M55" s="22"/>
      <c r="N55" s="22" t="e">
        <f>H55/26*I55</f>
        <v>#N/A</v>
      </c>
      <c r="O55" s="22"/>
      <c r="P55" s="106" t="e">
        <f>N55+O55</f>
        <v>#N/A</v>
      </c>
      <c r="Q55" s="3"/>
      <c r="R55" s="3"/>
      <c r="S55" s="3"/>
    </row>
    <row r="56" spans="1:19" x14ac:dyDescent="0.2">
      <c r="A56" s="3">
        <v>46</v>
      </c>
      <c r="B56" s="3" t="s">
        <v>163</v>
      </c>
      <c r="C56" s="3" t="s">
        <v>63</v>
      </c>
      <c r="D56" s="3" t="s">
        <v>202</v>
      </c>
      <c r="E56" s="22">
        <f t="shared" si="0"/>
        <v>3100000</v>
      </c>
      <c r="F56" s="28" t="s">
        <v>210</v>
      </c>
      <c r="G56" s="28">
        <v>3</v>
      </c>
      <c r="H56" s="22">
        <f>SUMIFS(Sheet2!$C$1:$C$81,Sheet2!$A$1:$A$81,BLuong!F56,Sheet2!$B$1:$B$81,BLuong!G56)*1000</f>
        <v>8613500</v>
      </c>
      <c r="I56" s="22" t="e">
        <f>VLOOKUP(C56,CC!$C$5:$AJ$49,34,0)</f>
        <v>#N/A</v>
      </c>
      <c r="J56" s="22"/>
      <c r="K56" s="22"/>
      <c r="L56" s="22"/>
      <c r="M56" s="22"/>
      <c r="N56" s="22" t="e">
        <f t="shared" ref="N56:N99" si="1">H56/26*I56</f>
        <v>#N/A</v>
      </c>
      <c r="O56" s="22"/>
      <c r="P56" s="106" t="e">
        <f t="shared" ref="P56:P99" si="2">N56+O56</f>
        <v>#N/A</v>
      </c>
      <c r="Q56" s="3"/>
      <c r="R56" s="3"/>
      <c r="S56" s="3"/>
    </row>
    <row r="57" spans="1:19" x14ac:dyDescent="0.2">
      <c r="A57" s="3">
        <v>47</v>
      </c>
      <c r="B57" s="3" t="s">
        <v>164</v>
      </c>
      <c r="C57" s="3" t="s">
        <v>64</v>
      </c>
      <c r="D57" s="3" t="s">
        <v>103</v>
      </c>
      <c r="E57" s="22">
        <f t="shared" si="0"/>
        <v>3100000</v>
      </c>
      <c r="F57" s="28" t="s">
        <v>211</v>
      </c>
      <c r="G57" s="28">
        <v>1</v>
      </c>
      <c r="H57" s="22">
        <f>SUMIFS(Sheet2!$C$1:$C$81,Sheet2!$A$1:$A$81,BLuong!F57,Sheet2!$B$1:$B$81,BLuong!G57)*1000</f>
        <v>5617500</v>
      </c>
      <c r="I57" s="22" t="e">
        <f>VLOOKUP(C57,CC!$C$5:$AJ$49,34,0)</f>
        <v>#N/A</v>
      </c>
      <c r="J57" s="22"/>
      <c r="K57" s="22"/>
      <c r="L57" s="22"/>
      <c r="M57" s="22"/>
      <c r="N57" s="22" t="e">
        <f t="shared" si="1"/>
        <v>#N/A</v>
      </c>
      <c r="O57" s="22"/>
      <c r="P57" s="106" t="e">
        <f t="shared" si="2"/>
        <v>#N/A</v>
      </c>
      <c r="Q57" s="3"/>
      <c r="R57" s="3"/>
      <c r="S57" s="3"/>
    </row>
    <row r="58" spans="1:19" x14ac:dyDescent="0.2">
      <c r="A58" s="3">
        <v>48</v>
      </c>
      <c r="B58" s="3" t="s">
        <v>165</v>
      </c>
      <c r="C58" s="3" t="s">
        <v>65</v>
      </c>
      <c r="D58" s="3" t="s">
        <v>203</v>
      </c>
      <c r="E58" s="22">
        <f t="shared" si="0"/>
        <v>3100000</v>
      </c>
      <c r="F58" s="28" t="s">
        <v>235</v>
      </c>
      <c r="G58" s="28">
        <v>1</v>
      </c>
      <c r="H58" s="22">
        <f>SUMIFS(Sheet2!$C$1:$C$81,Sheet2!$A$1:$A$81,BLuong!F58,Sheet2!$B$1:$B$81,BLuong!G58)*1000</f>
        <v>3745000</v>
      </c>
      <c r="I58" s="22">
        <f>VLOOKUP(C58,CC!$C$5:$AJ$49,34,0)</f>
        <v>23</v>
      </c>
      <c r="J58" s="22"/>
      <c r="K58" s="22"/>
      <c r="L58" s="22"/>
      <c r="M58" s="22"/>
      <c r="N58" s="22">
        <f t="shared" si="1"/>
        <v>3312884.615384615</v>
      </c>
      <c r="O58" s="22"/>
      <c r="P58" s="106">
        <f t="shared" si="2"/>
        <v>3312884.615384615</v>
      </c>
      <c r="Q58" s="3"/>
      <c r="R58" s="3"/>
      <c r="S58" s="3"/>
    </row>
    <row r="59" spans="1:19" s="2" customFormat="1" x14ac:dyDescent="0.2">
      <c r="A59" s="23"/>
      <c r="B59" s="23"/>
      <c r="C59" s="23" t="s">
        <v>361</v>
      </c>
      <c r="D59" s="23"/>
      <c r="E59" s="25"/>
      <c r="F59" s="29"/>
      <c r="G59" s="29"/>
      <c r="H59" s="34"/>
      <c r="I59" s="105"/>
      <c r="J59" s="105"/>
      <c r="K59" s="105"/>
      <c r="L59" s="105"/>
      <c r="M59" s="105"/>
      <c r="N59" s="34"/>
      <c r="O59" s="34"/>
      <c r="P59" s="34"/>
      <c r="Q59" s="23"/>
      <c r="R59" s="23"/>
      <c r="S59" s="23"/>
    </row>
    <row r="60" spans="1:19" x14ac:dyDescent="0.2">
      <c r="A60" s="3"/>
      <c r="B60" s="3"/>
      <c r="C60" s="3" t="s">
        <v>36</v>
      </c>
      <c r="D60" s="3" t="s">
        <v>364</v>
      </c>
      <c r="E60" s="22">
        <f t="shared" si="0"/>
        <v>3100000</v>
      </c>
      <c r="F60" s="28" t="s">
        <v>210</v>
      </c>
      <c r="G60" s="28">
        <v>2</v>
      </c>
      <c r="H60" s="22">
        <f>SUMIFS(Sheet2!$C$1:$C$81,Sheet2!$A$1:$A$81,BLuong!F60,Sheet2!$B$1:$B$81,BLuong!G60)*1000</f>
        <v>7490000</v>
      </c>
      <c r="I60" s="22" t="e">
        <f>VLOOKUP(C60,CC!$C$5:$AJ$49,34,0)</f>
        <v>#N/A</v>
      </c>
      <c r="J60" s="22"/>
      <c r="K60" s="22"/>
      <c r="L60" s="22"/>
      <c r="M60" s="22"/>
      <c r="N60" s="22" t="e">
        <f t="shared" si="1"/>
        <v>#N/A</v>
      </c>
      <c r="O60" s="22"/>
      <c r="P60" s="106" t="e">
        <f t="shared" si="2"/>
        <v>#N/A</v>
      </c>
      <c r="Q60" s="3"/>
      <c r="R60" s="3"/>
      <c r="S60" s="3"/>
    </row>
    <row r="61" spans="1:19" x14ac:dyDescent="0.2">
      <c r="A61" s="3"/>
      <c r="B61" s="3"/>
      <c r="C61" s="3" t="s">
        <v>362</v>
      </c>
      <c r="D61" s="3" t="s">
        <v>363</v>
      </c>
      <c r="E61" s="22">
        <f t="shared" si="0"/>
        <v>3100000</v>
      </c>
      <c r="F61" s="28" t="s">
        <v>234</v>
      </c>
      <c r="G61" s="28">
        <v>4</v>
      </c>
      <c r="H61" s="22">
        <f>SUMIFS(Sheet2!$C$1:$C$81,Sheet2!$A$1:$A$81,BLuong!F61,Sheet2!$B$1:$B$81,BLuong!G61)*1000</f>
        <v>4868500</v>
      </c>
      <c r="I61" s="22" t="e">
        <f>VLOOKUP(C61,CC!$C$5:$AJ$49,34,0)</f>
        <v>#N/A</v>
      </c>
      <c r="J61" s="22"/>
      <c r="K61" s="22"/>
      <c r="L61" s="22"/>
      <c r="M61" s="22"/>
      <c r="N61" s="22" t="e">
        <f t="shared" si="1"/>
        <v>#N/A</v>
      </c>
      <c r="O61" s="22"/>
      <c r="P61" s="106" t="e">
        <f t="shared" si="2"/>
        <v>#N/A</v>
      </c>
      <c r="Q61" s="3"/>
      <c r="R61" s="3"/>
      <c r="S61" s="3"/>
    </row>
    <row r="62" spans="1:19" s="2" customFormat="1" ht="22.5" x14ac:dyDescent="0.2">
      <c r="A62" s="23" t="s">
        <v>16</v>
      </c>
      <c r="B62" s="23"/>
      <c r="C62" s="23" t="s">
        <v>17</v>
      </c>
      <c r="D62" s="23"/>
      <c r="E62" s="25">
        <f t="shared" si="0"/>
        <v>3100000</v>
      </c>
      <c r="F62" s="29"/>
      <c r="G62" s="29"/>
      <c r="H62" s="34"/>
      <c r="I62" s="105"/>
      <c r="J62" s="105"/>
      <c r="K62" s="105"/>
      <c r="L62" s="105"/>
      <c r="M62" s="105"/>
      <c r="N62" s="34"/>
      <c r="O62" s="34"/>
      <c r="P62" s="34"/>
      <c r="Q62" s="23"/>
      <c r="R62" s="23"/>
      <c r="S62" s="23"/>
    </row>
    <row r="63" spans="1:19" x14ac:dyDescent="0.2">
      <c r="A63" s="3">
        <v>49</v>
      </c>
      <c r="B63" s="3" t="s">
        <v>166</v>
      </c>
      <c r="C63" s="3" t="s">
        <v>66</v>
      </c>
      <c r="D63" s="3" t="s">
        <v>204</v>
      </c>
      <c r="E63" s="22">
        <f t="shared" si="0"/>
        <v>3100000</v>
      </c>
      <c r="F63" s="28" t="s">
        <v>211</v>
      </c>
      <c r="G63" s="28">
        <v>4</v>
      </c>
      <c r="H63" s="22">
        <f>SUMIFS(Sheet2!$C$1:$C$81,Sheet2!$A$1:$A$81,BLuong!F63,Sheet2!$B$1:$B$81,BLuong!G63)*1000</f>
        <v>7864500</v>
      </c>
      <c r="I63" s="22" t="e">
        <f>VLOOKUP(C63,CC!$C$5:$AJ$49,34,0)</f>
        <v>#N/A</v>
      </c>
      <c r="J63" s="22"/>
      <c r="K63" s="22"/>
      <c r="L63" s="22"/>
      <c r="M63" s="22"/>
      <c r="N63" s="22" t="e">
        <f t="shared" si="1"/>
        <v>#N/A</v>
      </c>
      <c r="O63" s="22"/>
      <c r="P63" s="106" t="e">
        <f t="shared" si="2"/>
        <v>#N/A</v>
      </c>
      <c r="Q63" s="3"/>
      <c r="R63" s="3"/>
      <c r="S63" s="3"/>
    </row>
    <row r="64" spans="1:19" ht="22.5" x14ac:dyDescent="0.2">
      <c r="A64" s="3">
        <v>50</v>
      </c>
      <c r="B64" s="3" t="s">
        <v>167</v>
      </c>
      <c r="C64" s="3" t="s">
        <v>61</v>
      </c>
      <c r="D64" s="3" t="s">
        <v>205</v>
      </c>
      <c r="E64" s="22">
        <f t="shared" si="0"/>
        <v>3100000</v>
      </c>
      <c r="F64" s="28" t="s">
        <v>211</v>
      </c>
      <c r="G64" s="28">
        <v>5</v>
      </c>
      <c r="H64" s="22">
        <f>SUMIFS(Sheet2!$C$1:$C$81,Sheet2!$A$1:$A$81,BLuong!F64,Sheet2!$B$1:$B$81,BLuong!G64)*1000</f>
        <v>8613500</v>
      </c>
      <c r="I64" s="22" t="e">
        <f>VLOOKUP(C64,CC!$C$5:$AJ$49,34,0)</f>
        <v>#N/A</v>
      </c>
      <c r="J64" s="22"/>
      <c r="K64" s="22"/>
      <c r="L64" s="22"/>
      <c r="M64" s="22"/>
      <c r="N64" s="22" t="e">
        <f t="shared" si="1"/>
        <v>#N/A</v>
      </c>
      <c r="O64" s="22"/>
      <c r="P64" s="106" t="e">
        <f t="shared" si="2"/>
        <v>#N/A</v>
      </c>
      <c r="Q64" s="3"/>
      <c r="R64" s="3"/>
      <c r="S64" s="3"/>
    </row>
    <row r="65" spans="1:19" s="2" customFormat="1" x14ac:dyDescent="0.2">
      <c r="A65" s="23" t="s">
        <v>18</v>
      </c>
      <c r="B65" s="23"/>
      <c r="C65" s="23" t="s">
        <v>19</v>
      </c>
      <c r="D65" s="23"/>
      <c r="E65" s="25">
        <f t="shared" si="0"/>
        <v>3100000</v>
      </c>
      <c r="F65" s="29"/>
      <c r="G65" s="29"/>
      <c r="H65" s="34"/>
      <c r="I65" s="105"/>
      <c r="J65" s="105"/>
      <c r="K65" s="105"/>
      <c r="L65" s="105"/>
      <c r="M65" s="105"/>
      <c r="N65" s="34"/>
      <c r="O65" s="34"/>
      <c r="P65" s="34"/>
      <c r="Q65" s="23"/>
      <c r="R65" s="23"/>
      <c r="S65" s="23"/>
    </row>
    <row r="66" spans="1:19" x14ac:dyDescent="0.2">
      <c r="A66" s="3">
        <v>51</v>
      </c>
      <c r="B66" s="3" t="s">
        <v>168</v>
      </c>
      <c r="C66" s="3" t="s">
        <v>67</v>
      </c>
      <c r="D66" s="3" t="s">
        <v>206</v>
      </c>
      <c r="E66" s="22">
        <f t="shared" si="0"/>
        <v>3100000</v>
      </c>
      <c r="F66" s="28" t="s">
        <v>211</v>
      </c>
      <c r="G66" s="28">
        <v>3</v>
      </c>
      <c r="H66" s="22">
        <f>SUMIFS(Sheet2!$C$1:$C$81,Sheet2!$A$1:$A$81,BLuong!F66,Sheet2!$B$1:$B$81,BLuong!G66)*1000</f>
        <v>7115500</v>
      </c>
      <c r="I66" s="22" t="e">
        <f>VLOOKUP(C66,CC!$C$5:$AJ$49,34,0)</f>
        <v>#N/A</v>
      </c>
      <c r="J66" s="22"/>
      <c r="K66" s="22"/>
      <c r="L66" s="22"/>
      <c r="M66" s="22"/>
      <c r="N66" s="22" t="e">
        <f t="shared" si="1"/>
        <v>#N/A</v>
      </c>
      <c r="O66" s="22" t="e">
        <f>VLOOKUP(C66,'Công tổng'!$C$53:$BY$67,66,0)</f>
        <v>#N/A</v>
      </c>
      <c r="P66" s="106" t="e">
        <f t="shared" si="2"/>
        <v>#N/A</v>
      </c>
      <c r="Q66" s="3"/>
      <c r="R66" s="3"/>
      <c r="S66" s="3"/>
    </row>
    <row r="67" spans="1:19" x14ac:dyDescent="0.2">
      <c r="A67" s="3">
        <v>52</v>
      </c>
      <c r="B67" s="3" t="s">
        <v>169</v>
      </c>
      <c r="C67" s="3" t="s">
        <v>72</v>
      </c>
      <c r="D67" s="3" t="s">
        <v>206</v>
      </c>
      <c r="E67" s="22">
        <f t="shared" si="0"/>
        <v>3100000</v>
      </c>
      <c r="F67" s="28" t="s">
        <v>211</v>
      </c>
      <c r="G67" s="28">
        <v>3</v>
      </c>
      <c r="H67" s="22">
        <f>SUMIFS(Sheet2!$C$1:$C$81,Sheet2!$A$1:$A$81,BLuong!F67,Sheet2!$B$1:$B$81,BLuong!G67)*1000</f>
        <v>7115500</v>
      </c>
      <c r="I67" s="22" t="e">
        <f>VLOOKUP(C67,CC!$C$5:$AJ$49,34,0)</f>
        <v>#N/A</v>
      </c>
      <c r="J67" s="22"/>
      <c r="K67" s="22"/>
      <c r="L67" s="22"/>
      <c r="M67" s="22"/>
      <c r="N67" s="22" t="e">
        <f t="shared" si="1"/>
        <v>#N/A</v>
      </c>
      <c r="O67" s="22" t="e">
        <f>VLOOKUP(C67,'Công tổng'!$C$53:$BY$67,66,0)</f>
        <v>#N/A</v>
      </c>
      <c r="P67" s="106" t="e">
        <f t="shared" si="2"/>
        <v>#N/A</v>
      </c>
      <c r="Q67" s="3"/>
      <c r="R67" s="3"/>
      <c r="S67" s="3"/>
    </row>
    <row r="68" spans="1:19" x14ac:dyDescent="0.2">
      <c r="A68" s="3">
        <v>53</v>
      </c>
      <c r="B68" s="3" t="s">
        <v>170</v>
      </c>
      <c r="C68" s="3" t="s">
        <v>73</v>
      </c>
      <c r="D68" s="3" t="s">
        <v>206</v>
      </c>
      <c r="E68" s="22">
        <f t="shared" si="0"/>
        <v>3100000</v>
      </c>
      <c r="F68" s="28" t="s">
        <v>211</v>
      </c>
      <c r="G68" s="28">
        <v>3</v>
      </c>
      <c r="H68" s="22">
        <f>SUMIFS(Sheet2!$C$1:$C$81,Sheet2!$A$1:$A$81,BLuong!F68,Sheet2!$B$1:$B$81,BLuong!G68)*1000</f>
        <v>7115500</v>
      </c>
      <c r="I68" s="22" t="e">
        <f>VLOOKUP(C68,CC!$C$5:$AJ$49,34,0)</f>
        <v>#N/A</v>
      </c>
      <c r="J68" s="22"/>
      <c r="K68" s="22"/>
      <c r="L68" s="22"/>
      <c r="M68" s="22"/>
      <c r="N68" s="22" t="e">
        <f t="shared" si="1"/>
        <v>#N/A</v>
      </c>
      <c r="O68" s="22" t="e">
        <f>VLOOKUP(C68,'Công tổng'!$C$53:$BY$67,66,0)</f>
        <v>#N/A</v>
      </c>
      <c r="P68" s="106" t="e">
        <f t="shared" si="2"/>
        <v>#N/A</v>
      </c>
      <c r="Q68" s="3"/>
      <c r="R68" s="3"/>
      <c r="S68" s="3"/>
    </row>
    <row r="69" spans="1:19" x14ac:dyDescent="0.2">
      <c r="A69" s="3">
        <v>54</v>
      </c>
      <c r="B69" s="3" t="s">
        <v>171</v>
      </c>
      <c r="C69" s="3" t="s">
        <v>68</v>
      </c>
      <c r="D69" s="3" t="s">
        <v>206</v>
      </c>
      <c r="E69" s="22">
        <f t="shared" si="0"/>
        <v>3100000</v>
      </c>
      <c r="F69" s="28" t="s">
        <v>233</v>
      </c>
      <c r="G69" s="28">
        <v>1</v>
      </c>
      <c r="H69" s="22">
        <f>SUMIFS(Sheet2!$C$1:$C$81,Sheet2!$A$1:$A$81,BLuong!F69,Sheet2!$B$1:$B$81,BLuong!G69)*1000</f>
        <v>3745000</v>
      </c>
      <c r="I69" s="22" t="e">
        <f>VLOOKUP(C69,CC!$C$5:$AJ$49,34,0)</f>
        <v>#N/A</v>
      </c>
      <c r="J69" s="22"/>
      <c r="K69" s="22"/>
      <c r="L69" s="22"/>
      <c r="M69" s="22"/>
      <c r="N69" s="22" t="e">
        <f>H69/26*I69</f>
        <v>#N/A</v>
      </c>
      <c r="O69" s="22" t="e">
        <f>VLOOKUP(C69,'Công tổng'!$C$53:$BY$67,66,0)</f>
        <v>#N/A</v>
      </c>
      <c r="P69" s="106" t="e">
        <f t="shared" si="2"/>
        <v>#N/A</v>
      </c>
      <c r="Q69" s="3"/>
      <c r="R69" s="3"/>
      <c r="S69" s="3"/>
    </row>
    <row r="70" spans="1:19" x14ac:dyDescent="0.2">
      <c r="A70" s="3">
        <v>55</v>
      </c>
      <c r="B70" s="3" t="s">
        <v>172</v>
      </c>
      <c r="C70" s="3" t="s">
        <v>74</v>
      </c>
      <c r="D70" s="3" t="s">
        <v>206</v>
      </c>
      <c r="E70" s="22">
        <f t="shared" si="0"/>
        <v>3100000</v>
      </c>
      <c r="F70" s="28" t="s">
        <v>233</v>
      </c>
      <c r="G70" s="28">
        <v>1</v>
      </c>
      <c r="H70" s="22">
        <f>SUMIFS(Sheet2!$C$1:$C$81,Sheet2!$A$1:$A$81,BLuong!F70,Sheet2!$B$1:$B$81,BLuong!G70)*1000</f>
        <v>3745000</v>
      </c>
      <c r="I70" s="22">
        <f>VLOOKUP(C70,CC!$C$5:$AJ$49,34,0)</f>
        <v>26</v>
      </c>
      <c r="J70" s="22"/>
      <c r="K70" s="22"/>
      <c r="L70" s="22"/>
      <c r="M70" s="22"/>
      <c r="N70" s="22">
        <f t="shared" si="1"/>
        <v>3745000</v>
      </c>
      <c r="O70" s="22" t="e">
        <f>VLOOKUP(C70,'Công tổng'!$C$53:$BY$67,66,0)</f>
        <v>#N/A</v>
      </c>
      <c r="P70" s="106" t="e">
        <f t="shared" si="2"/>
        <v>#N/A</v>
      </c>
      <c r="Q70" s="3"/>
      <c r="R70" s="3"/>
      <c r="S70" s="3"/>
    </row>
    <row r="71" spans="1:19" x14ac:dyDescent="0.2">
      <c r="A71" s="3">
        <v>56</v>
      </c>
      <c r="B71" s="3" t="s">
        <v>173</v>
      </c>
      <c r="C71" s="3" t="s">
        <v>368</v>
      </c>
      <c r="D71" s="3" t="s">
        <v>206</v>
      </c>
      <c r="E71" s="22">
        <f t="shared" si="0"/>
        <v>3100000</v>
      </c>
      <c r="F71" s="28" t="s">
        <v>233</v>
      </c>
      <c r="G71" s="28">
        <v>1</v>
      </c>
      <c r="H71" s="22">
        <f>SUMIFS(Sheet2!$C$1:$C$81,Sheet2!$A$1:$A$81,BLuong!F71,Sheet2!$B$1:$B$81,BLuong!G71)*1000</f>
        <v>3745000</v>
      </c>
      <c r="I71" s="22" t="e">
        <f>VLOOKUP(C71,CC!$C$5:$AJ$49,34,0)</f>
        <v>#N/A</v>
      </c>
      <c r="J71" s="22"/>
      <c r="K71" s="22"/>
      <c r="L71" s="22"/>
      <c r="M71" s="22"/>
      <c r="N71" s="22" t="e">
        <f t="shared" si="1"/>
        <v>#N/A</v>
      </c>
      <c r="O71" s="22" t="e">
        <f>VLOOKUP(C71,'Công tổng'!$C$53:$BY$67,66,0)</f>
        <v>#N/A</v>
      </c>
      <c r="P71" s="106" t="e">
        <f t="shared" si="2"/>
        <v>#N/A</v>
      </c>
      <c r="Q71" s="3"/>
      <c r="R71" s="3"/>
      <c r="S71" s="3"/>
    </row>
    <row r="72" spans="1:19" x14ac:dyDescent="0.2">
      <c r="A72" s="3">
        <v>57</v>
      </c>
      <c r="B72" s="3" t="s">
        <v>174</v>
      </c>
      <c r="C72" s="3" t="s">
        <v>69</v>
      </c>
      <c r="D72" s="3" t="s">
        <v>206</v>
      </c>
      <c r="E72" s="22">
        <f t="shared" si="0"/>
        <v>3100000</v>
      </c>
      <c r="F72" s="28" t="s">
        <v>233</v>
      </c>
      <c r="G72" s="28">
        <v>1</v>
      </c>
      <c r="H72" s="22">
        <f>SUMIFS(Sheet2!$C$1:$C$81,Sheet2!$A$1:$A$81,BLuong!F72,Sheet2!$B$1:$B$81,BLuong!G72)*1000</f>
        <v>3745000</v>
      </c>
      <c r="I72" s="22" t="e">
        <f>VLOOKUP(C72,CC!$C$5:$AJ$49,34,0)</f>
        <v>#N/A</v>
      </c>
      <c r="J72" s="22"/>
      <c r="K72" s="22"/>
      <c r="L72" s="22"/>
      <c r="M72" s="22"/>
      <c r="N72" s="22" t="e">
        <f t="shared" si="1"/>
        <v>#N/A</v>
      </c>
      <c r="O72" s="22" t="e">
        <f>VLOOKUP(C72,'Công tổng'!$C$53:$BY$67,66,0)</f>
        <v>#N/A</v>
      </c>
      <c r="P72" s="106" t="e">
        <f t="shared" si="2"/>
        <v>#N/A</v>
      </c>
      <c r="Q72" s="3"/>
      <c r="R72" s="3"/>
      <c r="S72" s="3"/>
    </row>
    <row r="73" spans="1:19" x14ac:dyDescent="0.2">
      <c r="A73" s="3">
        <v>58</v>
      </c>
      <c r="B73" s="3" t="s">
        <v>175</v>
      </c>
      <c r="C73" s="3" t="s">
        <v>75</v>
      </c>
      <c r="D73" s="3" t="s">
        <v>206</v>
      </c>
      <c r="E73" s="22">
        <f t="shared" ref="E73:E99" si="3">$E$3</f>
        <v>3100000</v>
      </c>
      <c r="F73" s="28" t="s">
        <v>233</v>
      </c>
      <c r="G73" s="28">
        <v>1</v>
      </c>
      <c r="H73" s="22">
        <f>SUMIFS(Sheet2!$C$1:$C$81,Sheet2!$A$1:$A$81,BLuong!F73,Sheet2!$B$1:$B$81,BLuong!G73)*1000</f>
        <v>3745000</v>
      </c>
      <c r="I73" s="22">
        <f>VLOOKUP(C73,CC!$C$5:$AJ$49,34,0)</f>
        <v>5</v>
      </c>
      <c r="J73" s="22"/>
      <c r="K73" s="22"/>
      <c r="L73" s="22"/>
      <c r="M73" s="22"/>
      <c r="N73" s="22">
        <f t="shared" si="1"/>
        <v>720192.30769230763</v>
      </c>
      <c r="O73" s="22" t="e">
        <f>VLOOKUP(C73,'Công tổng'!$C$53:$BY$67,66,0)</f>
        <v>#N/A</v>
      </c>
      <c r="P73" s="106" t="e">
        <f t="shared" si="2"/>
        <v>#N/A</v>
      </c>
      <c r="Q73" s="3"/>
      <c r="R73" s="3"/>
      <c r="S73" s="3"/>
    </row>
    <row r="74" spans="1:19" x14ac:dyDescent="0.2">
      <c r="A74" s="3">
        <v>59</v>
      </c>
      <c r="B74" s="3" t="s">
        <v>176</v>
      </c>
      <c r="C74" s="3" t="s">
        <v>76</v>
      </c>
      <c r="D74" s="3" t="s">
        <v>206</v>
      </c>
      <c r="E74" s="22">
        <f t="shared" si="3"/>
        <v>3100000</v>
      </c>
      <c r="F74" s="28" t="s">
        <v>233</v>
      </c>
      <c r="G74" s="28">
        <v>1</v>
      </c>
      <c r="H74" s="22">
        <f>SUMIFS(Sheet2!$C$1:$C$81,Sheet2!$A$1:$A$81,BLuong!F74,Sheet2!$B$1:$B$81,BLuong!G74)*1000</f>
        <v>3745000</v>
      </c>
      <c r="I74" s="22" t="e">
        <f>VLOOKUP(C74,CC!$C$5:$AJ$49,34,0)</f>
        <v>#N/A</v>
      </c>
      <c r="J74" s="22"/>
      <c r="K74" s="22"/>
      <c r="L74" s="22"/>
      <c r="M74" s="22"/>
      <c r="N74" s="22" t="e">
        <f t="shared" si="1"/>
        <v>#N/A</v>
      </c>
      <c r="O74" s="22" t="e">
        <f>VLOOKUP(C74,'Công tổng'!$C$53:$BY$67,66,0)</f>
        <v>#N/A</v>
      </c>
      <c r="P74" s="106" t="e">
        <f t="shared" si="2"/>
        <v>#N/A</v>
      </c>
      <c r="Q74" s="3"/>
      <c r="R74" s="3"/>
      <c r="S74" s="3"/>
    </row>
    <row r="75" spans="1:19" x14ac:dyDescent="0.2">
      <c r="A75" s="3">
        <v>60</v>
      </c>
      <c r="B75" s="3" t="s">
        <v>177</v>
      </c>
      <c r="C75" s="3" t="s">
        <v>70</v>
      </c>
      <c r="D75" s="3" t="s">
        <v>206</v>
      </c>
      <c r="E75" s="22">
        <f t="shared" si="3"/>
        <v>3100000</v>
      </c>
      <c r="F75" s="28" t="s">
        <v>233</v>
      </c>
      <c r="G75" s="28">
        <v>1</v>
      </c>
      <c r="H75" s="22">
        <f>SUMIFS(Sheet2!$C$1:$C$81,Sheet2!$A$1:$A$81,BLuong!F75,Sheet2!$B$1:$B$81,BLuong!G75)*1000</f>
        <v>3745000</v>
      </c>
      <c r="I75" s="22">
        <f>VLOOKUP(C75,CC!$C$5:$AJ$49,34,0)</f>
        <v>26</v>
      </c>
      <c r="J75" s="22"/>
      <c r="K75" s="22"/>
      <c r="L75" s="22"/>
      <c r="M75" s="22"/>
      <c r="N75" s="22">
        <f t="shared" si="1"/>
        <v>3745000</v>
      </c>
      <c r="O75" s="22">
        <f>VLOOKUP(C75,'Công tổng'!$C$53:$BY$67,66,0)</f>
        <v>0</v>
      </c>
      <c r="P75" s="106">
        <f t="shared" si="2"/>
        <v>3745000</v>
      </c>
      <c r="Q75" s="3"/>
      <c r="R75" s="3"/>
      <c r="S75" s="3"/>
    </row>
    <row r="76" spans="1:19" x14ac:dyDescent="0.2">
      <c r="A76" s="3">
        <v>61</v>
      </c>
      <c r="B76" s="3" t="s">
        <v>178</v>
      </c>
      <c r="C76" s="3" t="s">
        <v>77</v>
      </c>
      <c r="D76" s="3" t="s">
        <v>206</v>
      </c>
      <c r="E76" s="22">
        <f t="shared" si="3"/>
        <v>3100000</v>
      </c>
      <c r="F76" s="28" t="s">
        <v>233</v>
      </c>
      <c r="G76" s="28">
        <v>1</v>
      </c>
      <c r="H76" s="22">
        <f>SUMIFS(Sheet2!$C$1:$C$81,Sheet2!$A$1:$A$81,BLuong!F76,Sheet2!$B$1:$B$81,BLuong!G76)*1000</f>
        <v>3745000</v>
      </c>
      <c r="I76" s="22">
        <f>VLOOKUP(C76,CC!$C$5:$AJ$49,34,0)</f>
        <v>25</v>
      </c>
      <c r="J76" s="22"/>
      <c r="K76" s="22"/>
      <c r="L76" s="22"/>
      <c r="M76" s="22"/>
      <c r="N76" s="22">
        <f t="shared" si="1"/>
        <v>3600961.5384615385</v>
      </c>
      <c r="O76" s="22" t="e">
        <f>VLOOKUP(C76,'Công tổng'!$C$53:$BY$67,66,0)</f>
        <v>#N/A</v>
      </c>
      <c r="P76" s="106" t="e">
        <f t="shared" si="2"/>
        <v>#N/A</v>
      </c>
      <c r="Q76" s="3"/>
      <c r="R76" s="3"/>
      <c r="S76" s="3"/>
    </row>
    <row r="77" spans="1:19" x14ac:dyDescent="0.2">
      <c r="A77" s="3">
        <v>62</v>
      </c>
      <c r="B77" s="3" t="s">
        <v>179</v>
      </c>
      <c r="C77" s="3" t="s">
        <v>89</v>
      </c>
      <c r="D77" s="3" t="s">
        <v>206</v>
      </c>
      <c r="E77" s="22">
        <f t="shared" si="3"/>
        <v>3100000</v>
      </c>
      <c r="F77" s="28" t="s">
        <v>233</v>
      </c>
      <c r="G77" s="28">
        <v>1</v>
      </c>
      <c r="H77" s="22">
        <f>SUMIFS(Sheet2!$C$1:$C$81,Sheet2!$A$1:$A$81,BLuong!F77,Sheet2!$B$1:$B$81,BLuong!G77)*1000</f>
        <v>3745000</v>
      </c>
      <c r="I77" s="22" t="e">
        <f>VLOOKUP(C77,CC!$C$5:$AJ$49,34,0)</f>
        <v>#N/A</v>
      </c>
      <c r="J77" s="22"/>
      <c r="K77" s="22"/>
      <c r="L77" s="22"/>
      <c r="M77" s="22"/>
      <c r="N77" s="22" t="e">
        <f t="shared" si="1"/>
        <v>#N/A</v>
      </c>
      <c r="O77" s="22" t="e">
        <f>VLOOKUP(C77,'Công tổng'!$C$53:$BY$67,66,0)</f>
        <v>#N/A</v>
      </c>
      <c r="P77" s="106" t="e">
        <f t="shared" si="2"/>
        <v>#N/A</v>
      </c>
      <c r="Q77" s="3"/>
      <c r="R77" s="3"/>
      <c r="S77" s="3"/>
    </row>
    <row r="78" spans="1:19" x14ac:dyDescent="0.2">
      <c r="A78" s="3">
        <v>63</v>
      </c>
      <c r="B78" s="3" t="s">
        <v>180</v>
      </c>
      <c r="C78" s="3" t="s">
        <v>71</v>
      </c>
      <c r="D78" s="3" t="s">
        <v>206</v>
      </c>
      <c r="E78" s="22">
        <f t="shared" si="3"/>
        <v>3100000</v>
      </c>
      <c r="F78" s="28" t="s">
        <v>233</v>
      </c>
      <c r="G78" s="28">
        <v>1</v>
      </c>
      <c r="H78" s="22">
        <f>SUMIFS(Sheet2!$C$1:$C$81,Sheet2!$A$1:$A$81,BLuong!F78,Sheet2!$B$1:$B$81,BLuong!G78)*1000</f>
        <v>3745000</v>
      </c>
      <c r="I78" s="22">
        <f>VLOOKUP(C78,CC!$C$5:$AJ$49,34,0)</f>
        <v>26</v>
      </c>
      <c r="J78" s="22"/>
      <c r="K78" s="22"/>
      <c r="L78" s="22"/>
      <c r="M78" s="22"/>
      <c r="N78" s="22">
        <f t="shared" si="1"/>
        <v>3745000</v>
      </c>
      <c r="O78" s="22">
        <f>VLOOKUP(C78,'Công tổng'!$C$53:$BY$67,66,0)</f>
        <v>0</v>
      </c>
      <c r="P78" s="106">
        <f t="shared" si="2"/>
        <v>3745000</v>
      </c>
      <c r="Q78" s="3"/>
      <c r="R78" s="3"/>
      <c r="S78" s="3"/>
    </row>
    <row r="79" spans="1:19" x14ac:dyDescent="0.2">
      <c r="A79" s="3">
        <v>64</v>
      </c>
      <c r="B79" s="3" t="s">
        <v>181</v>
      </c>
      <c r="C79" s="3" t="s">
        <v>87</v>
      </c>
      <c r="D79" s="3" t="s">
        <v>207</v>
      </c>
      <c r="E79" s="22">
        <f t="shared" si="3"/>
        <v>3100000</v>
      </c>
      <c r="F79" s="28" t="s">
        <v>236</v>
      </c>
      <c r="G79" s="28">
        <v>1</v>
      </c>
      <c r="H79" s="22">
        <f>SUMIFS(Sheet2!$C$1:$C$81,Sheet2!$A$1:$A$81,BLuong!F79,Sheet2!$B$1:$B$81,BLuong!G79)*1000</f>
        <v>3745000</v>
      </c>
      <c r="I79" s="22">
        <f>VLOOKUP(C79,CC!$C$5:$AJ$49,34,0)</f>
        <v>22</v>
      </c>
      <c r="J79" s="22"/>
      <c r="K79" s="22"/>
      <c r="L79" s="22"/>
      <c r="M79" s="22"/>
      <c r="N79" s="22">
        <f t="shared" si="1"/>
        <v>3168846.1538461535</v>
      </c>
      <c r="O79" s="22">
        <f>VLOOKUP(C79,'Công tổng'!$C$53:$BY$67,66,0)</f>
        <v>0</v>
      </c>
      <c r="P79" s="106">
        <f t="shared" si="2"/>
        <v>3168846.1538461535</v>
      </c>
      <c r="Q79" s="3"/>
      <c r="R79" s="3"/>
      <c r="S79" s="3"/>
    </row>
    <row r="80" spans="1:19" x14ac:dyDescent="0.2">
      <c r="A80" s="3">
        <v>65</v>
      </c>
      <c r="B80" s="3" t="s">
        <v>182</v>
      </c>
      <c r="C80" s="3" t="s">
        <v>88</v>
      </c>
      <c r="D80" s="3" t="s">
        <v>207</v>
      </c>
      <c r="E80" s="22">
        <f t="shared" si="3"/>
        <v>3100000</v>
      </c>
      <c r="F80" s="28" t="s">
        <v>236</v>
      </c>
      <c r="G80" s="28">
        <v>1</v>
      </c>
      <c r="H80" s="22">
        <f>SUMIFS(Sheet2!$C$1:$C$81,Sheet2!$A$1:$A$81,BLuong!F80,Sheet2!$B$1:$B$81,BLuong!G80)*1000</f>
        <v>3745000</v>
      </c>
      <c r="I80" s="22">
        <f>VLOOKUP(C80,CC!$C$5:$AJ$49,34,0)</f>
        <v>24</v>
      </c>
      <c r="J80" s="22"/>
      <c r="K80" s="22"/>
      <c r="L80" s="22"/>
      <c r="M80" s="22"/>
      <c r="N80" s="22">
        <f t="shared" si="1"/>
        <v>3456923.076923077</v>
      </c>
      <c r="O80" s="22">
        <f>VLOOKUP(C80,'Công tổng'!$C$53:$BY$67,66,0)</f>
        <v>0</v>
      </c>
      <c r="P80" s="106">
        <f t="shared" si="2"/>
        <v>3456923.076923077</v>
      </c>
      <c r="Q80" s="3"/>
      <c r="R80" s="3"/>
      <c r="S80" s="3"/>
    </row>
    <row r="81" spans="1:19" x14ac:dyDescent="0.2">
      <c r="A81" s="3">
        <v>66</v>
      </c>
      <c r="B81" s="3" t="s">
        <v>183</v>
      </c>
      <c r="C81" s="3" t="s">
        <v>81</v>
      </c>
      <c r="D81" s="3" t="s">
        <v>207</v>
      </c>
      <c r="E81" s="22">
        <f t="shared" si="3"/>
        <v>3100000</v>
      </c>
      <c r="F81" s="28" t="s">
        <v>236</v>
      </c>
      <c r="G81" s="28">
        <v>1</v>
      </c>
      <c r="H81" s="22">
        <f>SUMIFS(Sheet2!$C$1:$C$81,Sheet2!$A$1:$A$81,BLuong!F81,Sheet2!$B$1:$B$81,BLuong!G81)*1000</f>
        <v>3745000</v>
      </c>
      <c r="I81" s="22" t="e">
        <f>VLOOKUP(C81,CC!$C$5:$AJ$49,34,0)</f>
        <v>#N/A</v>
      </c>
      <c r="J81" s="22"/>
      <c r="K81" s="22"/>
      <c r="L81" s="22"/>
      <c r="M81" s="22"/>
      <c r="N81" s="22" t="e">
        <f t="shared" si="1"/>
        <v>#N/A</v>
      </c>
      <c r="O81" s="22" t="e">
        <f>VLOOKUP(C81,'Công tổng'!$C$53:$BY$67,66,0)</f>
        <v>#N/A</v>
      </c>
      <c r="P81" s="106" t="e">
        <f t="shared" si="2"/>
        <v>#N/A</v>
      </c>
      <c r="Q81" s="3"/>
      <c r="R81" s="3"/>
      <c r="S81" s="3"/>
    </row>
    <row r="82" spans="1:19" s="2" customFormat="1" x14ac:dyDescent="0.2">
      <c r="A82" s="23"/>
      <c r="B82" s="23"/>
      <c r="C82" s="23"/>
      <c r="D82" s="23"/>
      <c r="E82" s="25"/>
      <c r="F82" s="29"/>
      <c r="G82" s="29"/>
      <c r="H82" s="34"/>
      <c r="I82" s="105"/>
      <c r="J82" s="105"/>
      <c r="K82" s="105"/>
      <c r="L82" s="105"/>
      <c r="M82" s="105"/>
      <c r="N82" s="34"/>
      <c r="O82" s="34"/>
      <c r="P82" s="34"/>
      <c r="Q82" s="23"/>
      <c r="R82" s="23"/>
      <c r="S82" s="23"/>
    </row>
    <row r="83" spans="1:19" x14ac:dyDescent="0.2">
      <c r="A83" s="3">
        <v>67</v>
      </c>
      <c r="B83" s="3" t="s">
        <v>184</v>
      </c>
      <c r="C83" s="3" t="s">
        <v>83</v>
      </c>
      <c r="D83" s="3" t="s">
        <v>207</v>
      </c>
      <c r="E83" s="22">
        <f t="shared" si="3"/>
        <v>3100000</v>
      </c>
      <c r="F83" s="28" t="s">
        <v>236</v>
      </c>
      <c r="G83" s="28">
        <v>1</v>
      </c>
      <c r="H83" s="22">
        <f>SUMIFS(Sheet2!$C$1:$C$81,Sheet2!$A$1:$A$81,BLuong!F83,Sheet2!$B$1:$B$81,BLuong!G83)*1000</f>
        <v>3745000</v>
      </c>
      <c r="I83" s="22" t="e">
        <f>VLOOKUP(C83,CC!$C$5:$AJ$49,34,0)</f>
        <v>#N/A</v>
      </c>
      <c r="J83" s="22"/>
      <c r="K83" s="22"/>
      <c r="L83" s="22"/>
      <c r="M83" s="22"/>
      <c r="N83" s="22" t="e">
        <f t="shared" si="1"/>
        <v>#N/A</v>
      </c>
      <c r="O83" s="22" t="e">
        <f>VLOOKUP(C83,'Công tổng'!$C$53:$BY$67,66,0)</f>
        <v>#N/A</v>
      </c>
      <c r="P83" s="106" t="e">
        <f t="shared" si="2"/>
        <v>#N/A</v>
      </c>
      <c r="Q83" s="3"/>
      <c r="R83" s="3"/>
      <c r="S83" s="3"/>
    </row>
    <row r="84" spans="1:19" x14ac:dyDescent="0.2">
      <c r="A84" s="3">
        <v>68</v>
      </c>
      <c r="B84" s="3" t="s">
        <v>185</v>
      </c>
      <c r="C84" s="3" t="s">
        <v>84</v>
      </c>
      <c r="D84" s="3" t="s">
        <v>207</v>
      </c>
      <c r="E84" s="22">
        <f t="shared" si="3"/>
        <v>3100000</v>
      </c>
      <c r="F84" s="28" t="s">
        <v>236</v>
      </c>
      <c r="G84" s="28">
        <v>1</v>
      </c>
      <c r="H84" s="22">
        <f>SUMIFS(Sheet2!$C$1:$C$81,Sheet2!$A$1:$A$81,BLuong!F84,Sheet2!$B$1:$B$81,BLuong!G84)*1000</f>
        <v>3745000</v>
      </c>
      <c r="I84" s="22" t="e">
        <f>VLOOKUP(C84,CC!$C$5:$AJ$49,34,0)</f>
        <v>#N/A</v>
      </c>
      <c r="J84" s="22"/>
      <c r="K84" s="22"/>
      <c r="L84" s="22"/>
      <c r="M84" s="22"/>
      <c r="N84" s="22" t="e">
        <f t="shared" si="1"/>
        <v>#N/A</v>
      </c>
      <c r="O84" s="22" t="e">
        <f>VLOOKUP(C84,'Công tổng'!$C$53:$BY$67,66,0)</f>
        <v>#N/A</v>
      </c>
      <c r="P84" s="106" t="e">
        <f t="shared" si="2"/>
        <v>#N/A</v>
      </c>
      <c r="Q84" s="3"/>
      <c r="R84" s="3"/>
      <c r="S84" s="3"/>
    </row>
    <row r="85" spans="1:19" x14ac:dyDescent="0.2">
      <c r="A85" s="3">
        <v>69</v>
      </c>
      <c r="B85" s="3" t="s">
        <v>186</v>
      </c>
      <c r="C85" s="3" t="s">
        <v>85</v>
      </c>
      <c r="D85" s="3" t="s">
        <v>207</v>
      </c>
      <c r="E85" s="22">
        <f t="shared" si="3"/>
        <v>3100000</v>
      </c>
      <c r="F85" s="28" t="s">
        <v>236</v>
      </c>
      <c r="G85" s="28">
        <v>1</v>
      </c>
      <c r="H85" s="22">
        <f>SUMIFS(Sheet2!$C$1:$C$81,Sheet2!$A$1:$A$81,BLuong!F85,Sheet2!$B$1:$B$81,BLuong!G85)*1000</f>
        <v>3745000</v>
      </c>
      <c r="I85" s="22" t="e">
        <f>VLOOKUP(C85,CC!$C$5:$AJ$49,34,0)</f>
        <v>#N/A</v>
      </c>
      <c r="J85" s="22"/>
      <c r="K85" s="22"/>
      <c r="L85" s="22"/>
      <c r="M85" s="22"/>
      <c r="N85" s="22" t="e">
        <f t="shared" si="1"/>
        <v>#N/A</v>
      </c>
      <c r="O85" s="22" t="e">
        <f>VLOOKUP(C85,'Công tổng'!$C$53:$BY$67,66,0)</f>
        <v>#N/A</v>
      </c>
      <c r="P85" s="106" t="e">
        <f t="shared" si="2"/>
        <v>#N/A</v>
      </c>
      <c r="Q85" s="3"/>
      <c r="R85" s="3"/>
      <c r="S85" s="3"/>
    </row>
    <row r="86" spans="1:19" x14ac:dyDescent="0.2">
      <c r="A86" s="3">
        <v>70</v>
      </c>
      <c r="B86" s="3" t="s">
        <v>187</v>
      </c>
      <c r="C86" s="3" t="s">
        <v>239</v>
      </c>
      <c r="D86" s="3" t="s">
        <v>207</v>
      </c>
      <c r="E86" s="22">
        <f t="shared" si="3"/>
        <v>3100000</v>
      </c>
      <c r="F86" s="28" t="s">
        <v>236</v>
      </c>
      <c r="G86" s="28">
        <v>1</v>
      </c>
      <c r="H86" s="22">
        <f>SUMIFS(Sheet2!$C$1:$C$81,Sheet2!$A$1:$A$81,BLuong!F86,Sheet2!$B$1:$B$81,BLuong!G86)*1000</f>
        <v>3745000</v>
      </c>
      <c r="I86" s="22">
        <f>VLOOKUP(C86,CC!$C$5:$AJ$49,34,0)</f>
        <v>24</v>
      </c>
      <c r="J86" s="22"/>
      <c r="K86" s="22"/>
      <c r="L86" s="22"/>
      <c r="M86" s="22"/>
      <c r="N86" s="22">
        <f t="shared" si="1"/>
        <v>3456923.076923077</v>
      </c>
      <c r="O86" s="22" t="e">
        <f>VLOOKUP(C86,'Công tổng'!$C$53:$BY$67,66,0)</f>
        <v>#N/A</v>
      </c>
      <c r="P86" s="106" t="e">
        <f t="shared" si="2"/>
        <v>#N/A</v>
      </c>
      <c r="Q86" s="3"/>
      <c r="R86" s="3"/>
      <c r="S86" s="3"/>
    </row>
    <row r="87" spans="1:19" x14ac:dyDescent="0.2">
      <c r="A87" s="3">
        <v>71</v>
      </c>
      <c r="B87" s="3" t="s">
        <v>188</v>
      </c>
      <c r="C87" s="3" t="s">
        <v>86</v>
      </c>
      <c r="D87" s="3" t="s">
        <v>207</v>
      </c>
      <c r="E87" s="22">
        <f t="shared" si="3"/>
        <v>3100000</v>
      </c>
      <c r="F87" s="28" t="s">
        <v>236</v>
      </c>
      <c r="G87" s="28">
        <v>1</v>
      </c>
      <c r="H87" s="22">
        <f>SUMIFS(Sheet2!$C$1:$C$81,Sheet2!$A$1:$A$81,BLuong!F87,Sheet2!$B$1:$B$81,BLuong!G87)*1000</f>
        <v>3745000</v>
      </c>
      <c r="I87" s="22">
        <f>VLOOKUP(C87,CC!$C$5:$AJ$49,34,0)</f>
        <v>24</v>
      </c>
      <c r="J87" s="22"/>
      <c r="K87" s="22"/>
      <c r="L87" s="22"/>
      <c r="M87" s="22"/>
      <c r="N87" s="22">
        <f t="shared" si="1"/>
        <v>3456923.076923077</v>
      </c>
      <c r="O87" s="22" t="e">
        <f>VLOOKUP(C87,'Công tổng'!$C$53:$BY$67,66,0)</f>
        <v>#N/A</v>
      </c>
      <c r="P87" s="106" t="e">
        <f t="shared" si="2"/>
        <v>#N/A</v>
      </c>
      <c r="Q87" s="3"/>
      <c r="R87" s="3"/>
      <c r="S87" s="3"/>
    </row>
    <row r="88" spans="1:19" x14ac:dyDescent="0.2">
      <c r="A88" s="3">
        <v>72</v>
      </c>
      <c r="B88" s="3" t="s">
        <v>189</v>
      </c>
      <c r="C88" s="3" t="s">
        <v>90</v>
      </c>
      <c r="D88" s="3" t="s">
        <v>207</v>
      </c>
      <c r="E88" s="22">
        <f t="shared" si="3"/>
        <v>3100000</v>
      </c>
      <c r="F88" s="28" t="s">
        <v>236</v>
      </c>
      <c r="G88" s="28">
        <v>1</v>
      </c>
      <c r="H88" s="22">
        <f>SUMIFS(Sheet2!$C$1:$C$81,Sheet2!$A$1:$A$81,BLuong!F88,Sheet2!$B$1:$B$81,BLuong!G88)*1000</f>
        <v>3745000</v>
      </c>
      <c r="I88" s="22" t="e">
        <f>VLOOKUP(C88,CC!$C$5:$AJ$49,34,0)</f>
        <v>#N/A</v>
      </c>
      <c r="J88" s="22"/>
      <c r="K88" s="22"/>
      <c r="L88" s="22"/>
      <c r="M88" s="22"/>
      <c r="N88" s="22" t="e">
        <f t="shared" si="1"/>
        <v>#N/A</v>
      </c>
      <c r="O88" s="22" t="e">
        <f>VLOOKUP(C88,'Công tổng'!$C$53:$BY$67,66,0)</f>
        <v>#N/A</v>
      </c>
      <c r="P88" s="106" t="e">
        <f t="shared" si="2"/>
        <v>#N/A</v>
      </c>
      <c r="Q88" s="3"/>
      <c r="R88" s="3"/>
      <c r="S88" s="3"/>
    </row>
    <row r="89" spans="1:19" x14ac:dyDescent="0.2">
      <c r="A89" s="3">
        <v>73</v>
      </c>
      <c r="B89" s="3" t="s">
        <v>190</v>
      </c>
      <c r="C89" s="3" t="s">
        <v>91</v>
      </c>
      <c r="D89" s="3" t="s">
        <v>207</v>
      </c>
      <c r="E89" s="22">
        <f t="shared" si="3"/>
        <v>3100000</v>
      </c>
      <c r="F89" s="28" t="s">
        <v>236</v>
      </c>
      <c r="G89" s="28">
        <v>1</v>
      </c>
      <c r="H89" s="22">
        <f>SUMIFS(Sheet2!$C$1:$C$81,Sheet2!$A$1:$A$81,BLuong!F89,Sheet2!$B$1:$B$81,BLuong!G89)*1000</f>
        <v>3745000</v>
      </c>
      <c r="I89" s="22">
        <f>VLOOKUP(C89,CC!$C$5:$AJ$49,34,0)</f>
        <v>25</v>
      </c>
      <c r="J89" s="22"/>
      <c r="K89" s="22"/>
      <c r="L89" s="22"/>
      <c r="M89" s="22"/>
      <c r="N89" s="22">
        <f t="shared" si="1"/>
        <v>3600961.5384615385</v>
      </c>
      <c r="O89" s="22">
        <f>VLOOKUP(C89,'Công tổng'!$C$53:$BY$67,66,0)</f>
        <v>0</v>
      </c>
      <c r="P89" s="106">
        <f t="shared" si="2"/>
        <v>3600961.5384615385</v>
      </c>
      <c r="Q89" s="3"/>
      <c r="R89" s="3"/>
      <c r="S89" s="3"/>
    </row>
    <row r="90" spans="1:19" x14ac:dyDescent="0.2">
      <c r="A90" s="3">
        <v>74</v>
      </c>
      <c r="B90" s="3" t="s">
        <v>191</v>
      </c>
      <c r="C90" s="3" t="s">
        <v>92</v>
      </c>
      <c r="D90" s="3" t="s">
        <v>207</v>
      </c>
      <c r="E90" s="22">
        <f t="shared" si="3"/>
        <v>3100000</v>
      </c>
      <c r="F90" s="28" t="s">
        <v>236</v>
      </c>
      <c r="G90" s="28">
        <v>1</v>
      </c>
      <c r="H90" s="22">
        <f>SUMIFS(Sheet2!$C$1:$C$81,Sheet2!$A$1:$A$81,BLuong!F90,Sheet2!$B$1:$B$81,BLuong!G90)*1000</f>
        <v>3745000</v>
      </c>
      <c r="I90" s="22" t="e">
        <f>VLOOKUP(C90,CC!$C$5:$AJ$49,34,0)</f>
        <v>#N/A</v>
      </c>
      <c r="J90" s="22"/>
      <c r="K90" s="22"/>
      <c r="L90" s="22"/>
      <c r="M90" s="22"/>
      <c r="N90" s="22" t="e">
        <f t="shared" si="1"/>
        <v>#N/A</v>
      </c>
      <c r="O90" s="22" t="e">
        <f>VLOOKUP(C90,'Công tổng'!$C$53:$BY$67,66,0)</f>
        <v>#N/A</v>
      </c>
      <c r="P90" s="106" t="e">
        <f t="shared" si="2"/>
        <v>#N/A</v>
      </c>
      <c r="Q90" s="3"/>
      <c r="R90" s="3"/>
      <c r="S90" s="3"/>
    </row>
    <row r="91" spans="1:19" x14ac:dyDescent="0.2">
      <c r="A91" s="3">
        <v>75</v>
      </c>
      <c r="B91" s="3" t="s">
        <v>192</v>
      </c>
      <c r="C91" s="3" t="s">
        <v>240</v>
      </c>
      <c r="D91" s="3" t="s">
        <v>207</v>
      </c>
      <c r="E91" s="22">
        <f t="shared" si="3"/>
        <v>3100000</v>
      </c>
      <c r="F91" s="28" t="s">
        <v>236</v>
      </c>
      <c r="G91" s="28">
        <v>1</v>
      </c>
      <c r="H91" s="22">
        <f>SUMIFS(Sheet2!$C$1:$C$81,Sheet2!$A$1:$A$81,BLuong!F91,Sheet2!$B$1:$B$81,BLuong!G91)*1000</f>
        <v>3745000</v>
      </c>
      <c r="I91" s="22" t="e">
        <f>VLOOKUP(C91,CC!$C$5:$AJ$49,34,0)</f>
        <v>#N/A</v>
      </c>
      <c r="J91" s="22"/>
      <c r="K91" s="22"/>
      <c r="L91" s="22"/>
      <c r="M91" s="22"/>
      <c r="N91" s="22" t="e">
        <f t="shared" si="1"/>
        <v>#N/A</v>
      </c>
      <c r="O91" s="22" t="e">
        <f>VLOOKUP(C91,'Công tổng'!$C$53:$BY$67,66,0)</f>
        <v>#N/A</v>
      </c>
      <c r="P91" s="106" t="e">
        <f t="shared" si="2"/>
        <v>#N/A</v>
      </c>
      <c r="Q91" s="3"/>
      <c r="R91" s="3"/>
      <c r="S91" s="3"/>
    </row>
    <row r="92" spans="1:19" x14ac:dyDescent="0.2">
      <c r="A92" s="3">
        <v>76</v>
      </c>
      <c r="B92" s="3" t="s">
        <v>193</v>
      </c>
      <c r="C92" s="3" t="s">
        <v>369</v>
      </c>
      <c r="D92" s="3" t="s">
        <v>207</v>
      </c>
      <c r="E92" s="22">
        <f t="shared" si="3"/>
        <v>3100000</v>
      </c>
      <c r="F92" s="28" t="s">
        <v>236</v>
      </c>
      <c r="G92" s="28">
        <v>1</v>
      </c>
      <c r="H92" s="22">
        <f>SUMIFS(Sheet2!$C$1:$C$81,Sheet2!$A$1:$A$81,BLuong!F92,Sheet2!$B$1:$B$81,BLuong!G92)*1000</f>
        <v>3745000</v>
      </c>
      <c r="I92" s="22">
        <f>VLOOKUP(C92,CC!$C$5:$AJ$49,34,0)</f>
        <v>25</v>
      </c>
      <c r="J92" s="22"/>
      <c r="K92" s="22"/>
      <c r="L92" s="22"/>
      <c r="M92" s="22"/>
      <c r="N92" s="22">
        <f t="shared" si="1"/>
        <v>3600961.5384615385</v>
      </c>
      <c r="O92" s="22">
        <f>VLOOKUP(C92,'Công tổng'!$C$53:$BY$67,66,0)</f>
        <v>0</v>
      </c>
      <c r="P92" s="106">
        <f t="shared" si="2"/>
        <v>3600961.5384615385</v>
      </c>
      <c r="Q92" s="3"/>
      <c r="R92" s="3"/>
      <c r="S92" s="3"/>
    </row>
    <row r="93" spans="1:19" x14ac:dyDescent="0.2">
      <c r="A93" s="3">
        <v>77</v>
      </c>
      <c r="B93" s="3" t="s">
        <v>194</v>
      </c>
      <c r="C93" s="3" t="s">
        <v>93</v>
      </c>
      <c r="D93" s="3" t="s">
        <v>207</v>
      </c>
      <c r="E93" s="22">
        <f t="shared" si="3"/>
        <v>3100000</v>
      </c>
      <c r="F93" s="28" t="s">
        <v>236</v>
      </c>
      <c r="G93" s="28">
        <v>1</v>
      </c>
      <c r="H93" s="22">
        <f>SUMIFS(Sheet2!$C$1:$C$81,Sheet2!$A$1:$A$81,BLuong!F93,Sheet2!$B$1:$B$81,BLuong!G93)*1000</f>
        <v>3745000</v>
      </c>
      <c r="I93" s="22">
        <f>VLOOKUP(C93,CC!$C$5:$AJ$49,34,0)</f>
        <v>26</v>
      </c>
      <c r="J93" s="22"/>
      <c r="K93" s="22"/>
      <c r="L93" s="22"/>
      <c r="M93" s="22"/>
      <c r="N93" s="22">
        <f t="shared" si="1"/>
        <v>3745000</v>
      </c>
      <c r="O93" s="22" t="e">
        <f>VLOOKUP(C93,'Công tổng'!$C$53:$BY$67,66,0)</f>
        <v>#N/A</v>
      </c>
      <c r="P93" s="106" t="e">
        <f t="shared" si="2"/>
        <v>#N/A</v>
      </c>
      <c r="Q93" s="3"/>
      <c r="R93" s="3"/>
      <c r="S93" s="3"/>
    </row>
    <row r="94" spans="1:19" x14ac:dyDescent="0.2">
      <c r="A94" s="3">
        <v>78</v>
      </c>
      <c r="B94" s="3" t="s">
        <v>195</v>
      </c>
      <c r="C94" s="3" t="s">
        <v>80</v>
      </c>
      <c r="D94" s="3" t="s">
        <v>207</v>
      </c>
      <c r="E94" s="22">
        <f t="shared" si="3"/>
        <v>3100000</v>
      </c>
      <c r="F94" s="28" t="s">
        <v>236</v>
      </c>
      <c r="G94" s="28">
        <v>1</v>
      </c>
      <c r="H94" s="22">
        <f>SUMIFS(Sheet2!$C$1:$C$81,Sheet2!$A$1:$A$81,BLuong!F94,Sheet2!$B$1:$B$81,BLuong!G94)*1000</f>
        <v>3745000</v>
      </c>
      <c r="I94" s="22">
        <f>VLOOKUP(C94,CC!$C$5:$AJ$49,34,0)</f>
        <v>26</v>
      </c>
      <c r="J94" s="22"/>
      <c r="K94" s="22"/>
      <c r="L94" s="22"/>
      <c r="M94" s="22"/>
      <c r="N94" s="22">
        <f t="shared" si="1"/>
        <v>3745000</v>
      </c>
      <c r="O94" s="22" t="e">
        <f>VLOOKUP(C94,'Công tổng'!$C$53:$BY$67,66,0)</f>
        <v>#N/A</v>
      </c>
      <c r="P94" s="106" t="e">
        <f t="shared" si="2"/>
        <v>#N/A</v>
      </c>
      <c r="Q94" s="3"/>
      <c r="R94" s="3"/>
      <c r="S94" s="3"/>
    </row>
    <row r="95" spans="1:19" x14ac:dyDescent="0.2">
      <c r="A95" s="3">
        <v>79</v>
      </c>
      <c r="B95" s="3" t="s">
        <v>196</v>
      </c>
      <c r="C95" s="3" t="s">
        <v>78</v>
      </c>
      <c r="D95" s="3" t="s">
        <v>207</v>
      </c>
      <c r="E95" s="22">
        <f t="shared" si="3"/>
        <v>3100000</v>
      </c>
      <c r="F95" s="28" t="s">
        <v>236</v>
      </c>
      <c r="G95" s="28">
        <v>1</v>
      </c>
      <c r="H95" s="22">
        <f>SUMIFS(Sheet2!$C$1:$C$81,Sheet2!$A$1:$A$81,BLuong!F95,Sheet2!$B$1:$B$81,BLuong!G95)*1000</f>
        <v>3745000</v>
      </c>
      <c r="I95" s="22">
        <f>VLOOKUP(C95,CC!$C$5:$AJ$49,34,0)</f>
        <v>26</v>
      </c>
      <c r="J95" s="22"/>
      <c r="K95" s="22"/>
      <c r="L95" s="22"/>
      <c r="M95" s="22"/>
      <c r="N95" s="22">
        <f t="shared" si="1"/>
        <v>3745000</v>
      </c>
      <c r="O95" s="22" t="e">
        <f>VLOOKUP(C95,'Công tổng'!$C$53:$BY$67,66,0)</f>
        <v>#N/A</v>
      </c>
      <c r="P95" s="106" t="e">
        <f t="shared" si="2"/>
        <v>#N/A</v>
      </c>
      <c r="Q95" s="3"/>
      <c r="R95" s="3"/>
      <c r="S95" s="3"/>
    </row>
    <row r="96" spans="1:19" x14ac:dyDescent="0.2">
      <c r="A96" s="3">
        <v>80</v>
      </c>
      <c r="B96" s="3" t="s">
        <v>197</v>
      </c>
      <c r="C96" s="3" t="s">
        <v>82</v>
      </c>
      <c r="D96" s="3" t="s">
        <v>207</v>
      </c>
      <c r="E96" s="22">
        <f t="shared" si="3"/>
        <v>3100000</v>
      </c>
      <c r="F96" s="28" t="s">
        <v>236</v>
      </c>
      <c r="G96" s="28">
        <v>1</v>
      </c>
      <c r="H96" s="22">
        <f>SUMIFS(Sheet2!$C$1:$C$81,Sheet2!$A$1:$A$81,BLuong!F96,Sheet2!$B$1:$B$81,BLuong!G96)*1000</f>
        <v>3745000</v>
      </c>
      <c r="I96" s="22" t="e">
        <f>VLOOKUP(C96,CC!$C$5:$AJ$49,34,0)</f>
        <v>#N/A</v>
      </c>
      <c r="J96" s="22"/>
      <c r="K96" s="22"/>
      <c r="L96" s="22"/>
      <c r="M96" s="22"/>
      <c r="N96" s="22" t="e">
        <f t="shared" si="1"/>
        <v>#N/A</v>
      </c>
      <c r="O96" s="22" t="e">
        <f>VLOOKUP(C96,'Công tổng'!$C$53:$BY$67,66,0)</f>
        <v>#N/A</v>
      </c>
      <c r="P96" s="106" t="e">
        <f t="shared" si="2"/>
        <v>#N/A</v>
      </c>
      <c r="Q96" s="3"/>
      <c r="R96" s="3"/>
      <c r="S96" s="3"/>
    </row>
    <row r="97" spans="1:19" x14ac:dyDescent="0.2">
      <c r="A97" s="3">
        <v>81</v>
      </c>
      <c r="B97" s="3" t="s">
        <v>198</v>
      </c>
      <c r="C97" s="3" t="s">
        <v>79</v>
      </c>
      <c r="D97" s="3" t="s">
        <v>207</v>
      </c>
      <c r="E97" s="22">
        <f t="shared" si="3"/>
        <v>3100000</v>
      </c>
      <c r="F97" s="28" t="s">
        <v>236</v>
      </c>
      <c r="G97" s="28">
        <v>1</v>
      </c>
      <c r="H97" s="22">
        <f>SUMIFS(Sheet2!$C$1:$C$81,Sheet2!$A$1:$A$81,BLuong!F97,Sheet2!$B$1:$B$81,BLuong!G97)*1000</f>
        <v>3745000</v>
      </c>
      <c r="I97" s="22" t="e">
        <f>VLOOKUP(C97,CC!$C$5:$AJ$49,34,0)</f>
        <v>#N/A</v>
      </c>
      <c r="J97" s="22"/>
      <c r="K97" s="22"/>
      <c r="L97" s="22"/>
      <c r="M97" s="22"/>
      <c r="N97" s="22" t="e">
        <f t="shared" si="1"/>
        <v>#N/A</v>
      </c>
      <c r="O97" s="22" t="e">
        <f>VLOOKUP(C97,'Công tổng'!$C$53:$BY$67,66,0)</f>
        <v>#N/A</v>
      </c>
      <c r="P97" s="106" t="e">
        <f t="shared" si="2"/>
        <v>#N/A</v>
      </c>
      <c r="Q97" s="3"/>
      <c r="R97" s="3"/>
      <c r="S97" s="3"/>
    </row>
    <row r="98" spans="1:19" x14ac:dyDescent="0.2">
      <c r="A98" s="3">
        <v>82</v>
      </c>
      <c r="B98" s="3" t="s">
        <v>199</v>
      </c>
      <c r="C98" s="3" t="s">
        <v>320</v>
      </c>
      <c r="D98" s="3" t="s">
        <v>207</v>
      </c>
      <c r="E98" s="22">
        <f t="shared" si="3"/>
        <v>3100000</v>
      </c>
      <c r="F98" s="28" t="s">
        <v>236</v>
      </c>
      <c r="G98" s="28">
        <v>1</v>
      </c>
      <c r="H98" s="22">
        <f>SUMIFS(Sheet2!$C$1:$C$81,Sheet2!$A$1:$A$81,BLuong!F98,Sheet2!$B$1:$B$81,BLuong!G98)*1000</f>
        <v>3745000</v>
      </c>
      <c r="I98" s="22" t="e">
        <f>VLOOKUP(C98,CC!$C$5:$AJ$49,34,0)</f>
        <v>#N/A</v>
      </c>
      <c r="J98" s="22"/>
      <c r="K98" s="22"/>
      <c r="L98" s="22"/>
      <c r="M98" s="22"/>
      <c r="N98" s="22" t="e">
        <f t="shared" si="1"/>
        <v>#N/A</v>
      </c>
      <c r="O98" s="22" t="e">
        <f>VLOOKUP(C98,'Công tổng'!$C$53:$BY$67,66,0)</f>
        <v>#N/A</v>
      </c>
      <c r="P98" s="106" t="e">
        <f t="shared" si="2"/>
        <v>#N/A</v>
      </c>
      <c r="Q98" s="3"/>
      <c r="R98" s="3"/>
      <c r="S98" s="3"/>
    </row>
    <row r="99" spans="1:19" x14ac:dyDescent="0.2">
      <c r="A99" s="3">
        <v>83</v>
      </c>
      <c r="B99" s="3" t="s">
        <v>200</v>
      </c>
      <c r="C99" s="3" t="s">
        <v>321</v>
      </c>
      <c r="D99" s="3" t="s">
        <v>207</v>
      </c>
      <c r="E99" s="22">
        <f t="shared" si="3"/>
        <v>3100000</v>
      </c>
      <c r="F99" s="28" t="s">
        <v>236</v>
      </c>
      <c r="G99" s="28">
        <v>1</v>
      </c>
      <c r="H99" s="22">
        <f>SUMIFS(Sheet2!$C$1:$C$81,Sheet2!$A$1:$A$81,BLuong!F99,Sheet2!$B$1:$B$81,BLuong!G99)*1000</f>
        <v>3745000</v>
      </c>
      <c r="I99" s="22" t="e">
        <f>VLOOKUP(C99,CC!$C$5:$AJ$49,34,0)</f>
        <v>#N/A</v>
      </c>
      <c r="J99" s="22"/>
      <c r="K99" s="22"/>
      <c r="L99" s="22"/>
      <c r="M99" s="22"/>
      <c r="N99" s="22" t="e">
        <f t="shared" si="1"/>
        <v>#N/A</v>
      </c>
      <c r="O99" s="22" t="e">
        <f>VLOOKUP(C99,'Công tổng'!$C$53:$BY$67,66,0)</f>
        <v>#N/A</v>
      </c>
      <c r="P99" s="106" t="e">
        <f t="shared" si="2"/>
        <v>#N/A</v>
      </c>
      <c r="Q99" s="3"/>
      <c r="R99" s="3"/>
      <c r="S99" s="3"/>
    </row>
  </sheetData>
  <autoFilter ref="A4:E99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BC111"/>
  <sheetViews>
    <sheetView workbookViewId="0">
      <pane xSplit="3" ySplit="3" topLeftCell="AC44" activePane="bottomRight" state="frozen"/>
      <selection pane="topRight" activeCell="D1" sqref="D1"/>
      <selection pane="bottomLeft" activeCell="A4" sqref="A4"/>
      <selection pane="bottomRight" activeCell="C65" sqref="C65"/>
    </sheetView>
  </sheetViews>
  <sheetFormatPr defaultColWidth="9.140625" defaultRowHeight="15.75" x14ac:dyDescent="0.25"/>
  <cols>
    <col min="1" max="1" width="4.5703125" style="196" customWidth="1"/>
    <col min="2" max="2" width="23.140625" style="196" customWidth="1"/>
    <col min="3" max="3" width="12.140625" style="539" customWidth="1"/>
    <col min="4" max="8" width="3.7109375" style="527" customWidth="1"/>
    <col min="9" max="9" width="4.140625" style="527" customWidth="1"/>
    <col min="10" max="15" width="3.7109375" style="527" customWidth="1"/>
    <col min="16" max="22" width="3.7109375" style="427" customWidth="1"/>
    <col min="23" max="23" width="3.7109375" style="586" customWidth="1"/>
    <col min="24" max="34" width="3.7109375" style="427" customWidth="1"/>
    <col min="35" max="35" width="3.7109375" style="586" customWidth="1"/>
    <col min="36" max="37" width="5.28515625" style="427" bestFit="1" customWidth="1"/>
    <col min="38" max="38" width="3.7109375" style="427" customWidth="1"/>
    <col min="39" max="47" width="4.42578125" style="427" customWidth="1"/>
    <col min="48" max="48" width="9.28515625" style="196" customWidth="1"/>
    <col min="49" max="49" width="10" style="196" customWidth="1"/>
    <col min="50" max="50" width="9.7109375" style="196" hidden="1" customWidth="1"/>
    <col min="51" max="52" width="7.7109375" style="196" customWidth="1"/>
    <col min="53" max="53" width="23.42578125" style="196" customWidth="1"/>
    <col min="54" max="54" width="19.28515625" style="196" customWidth="1"/>
    <col min="55" max="55" width="14.85546875" style="196" bestFit="1" customWidth="1"/>
    <col min="56" max="16384" width="9.140625" style="196"/>
  </cols>
  <sheetData>
    <row r="1" spans="1:55" ht="33" customHeight="1" x14ac:dyDescent="0.25">
      <c r="A1" s="1031" t="s">
        <v>875</v>
      </c>
      <c r="B1" s="1031"/>
      <c r="C1" s="1031"/>
      <c r="D1" s="1031"/>
      <c r="E1" s="1031"/>
      <c r="F1" s="1031"/>
      <c r="G1" s="1031"/>
      <c r="H1" s="1031"/>
      <c r="I1" s="1031"/>
      <c r="J1" s="1031"/>
      <c r="K1" s="1031"/>
      <c r="L1" s="1031"/>
      <c r="M1" s="1031"/>
      <c r="N1" s="1031"/>
      <c r="O1" s="1031"/>
      <c r="P1" s="621"/>
      <c r="Q1" s="621"/>
      <c r="R1" s="621"/>
      <c r="S1" s="621"/>
      <c r="T1" s="621"/>
      <c r="U1" s="621"/>
      <c r="V1" s="621"/>
      <c r="W1" s="622"/>
      <c r="X1" s="621"/>
      <c r="Y1" s="621"/>
      <c r="Z1" s="621"/>
      <c r="AA1" s="621"/>
      <c r="AB1" s="621"/>
      <c r="AC1" s="621"/>
      <c r="AD1" s="621"/>
      <c r="AE1" s="621"/>
      <c r="AF1" s="621"/>
      <c r="AG1" s="621"/>
      <c r="AH1" s="621"/>
      <c r="AI1" s="622"/>
      <c r="AJ1" s="621"/>
      <c r="AK1" s="621"/>
      <c r="AL1" s="621"/>
      <c r="AM1" s="621"/>
      <c r="AN1" s="621"/>
      <c r="AO1" s="621"/>
      <c r="AP1" s="621"/>
      <c r="AQ1" s="621"/>
      <c r="AR1" s="621"/>
      <c r="AS1" s="621"/>
      <c r="AT1" s="621"/>
      <c r="AU1" s="621"/>
      <c r="BB1" s="540">
        <f ca="1">NOW()</f>
        <v>43747.540138194447</v>
      </c>
      <c r="BC1" s="540"/>
    </row>
    <row r="2" spans="1:55" ht="21.75" customHeight="1" x14ac:dyDescent="0.25">
      <c r="A2" s="1032" t="s">
        <v>0</v>
      </c>
      <c r="B2" s="1032" t="s">
        <v>704</v>
      </c>
      <c r="C2" s="1032" t="s">
        <v>706</v>
      </c>
      <c r="D2" s="1040" t="s">
        <v>705</v>
      </c>
      <c r="E2" s="1040"/>
      <c r="F2" s="1040"/>
      <c r="G2" s="1040"/>
      <c r="H2" s="1040"/>
      <c r="I2" s="1040"/>
      <c r="J2" s="1040"/>
      <c r="K2" s="1040"/>
      <c r="L2" s="1040"/>
      <c r="M2" s="1040"/>
      <c r="N2" s="1040"/>
      <c r="O2" s="1040"/>
      <c r="P2" s="1034" t="s">
        <v>744</v>
      </c>
      <c r="Q2" s="1035"/>
      <c r="R2" s="1035"/>
      <c r="S2" s="1035"/>
      <c r="T2" s="1035"/>
      <c r="U2" s="1035"/>
      <c r="V2" s="1035"/>
      <c r="W2" s="1035"/>
      <c r="X2" s="1035"/>
      <c r="Y2" s="1035"/>
      <c r="Z2" s="1035"/>
      <c r="AA2" s="1036"/>
      <c r="AB2" s="1037" t="s">
        <v>772</v>
      </c>
      <c r="AC2" s="1038"/>
      <c r="AD2" s="1038"/>
      <c r="AE2" s="1038"/>
      <c r="AF2" s="1038"/>
      <c r="AG2" s="1038"/>
      <c r="AH2" s="1038"/>
      <c r="AI2" s="1038"/>
      <c r="AJ2" s="1038"/>
      <c r="AK2" s="1038"/>
      <c r="AL2" s="1038"/>
      <c r="AM2" s="1039"/>
      <c r="AN2" s="827"/>
      <c r="AO2" s="827"/>
      <c r="AP2" s="827"/>
      <c r="AQ2" s="827"/>
      <c r="AR2" s="827"/>
      <c r="AS2" s="827"/>
      <c r="AT2" s="827"/>
      <c r="AU2" s="827"/>
      <c r="AV2" s="1029" t="s">
        <v>725</v>
      </c>
      <c r="AW2" s="1029" t="s">
        <v>745</v>
      </c>
      <c r="AX2" s="1029" t="s">
        <v>771</v>
      </c>
      <c r="AY2" s="1029" t="s">
        <v>771</v>
      </c>
      <c r="AZ2" s="1029" t="s">
        <v>826</v>
      </c>
    </row>
    <row r="3" spans="1:55" x14ac:dyDescent="0.25">
      <c r="A3" s="1033"/>
      <c r="B3" s="1033"/>
      <c r="C3" s="1033"/>
      <c r="D3" s="597">
        <v>1</v>
      </c>
      <c r="E3" s="597">
        <v>2</v>
      </c>
      <c r="F3" s="597">
        <v>3</v>
      </c>
      <c r="G3" s="597">
        <v>4</v>
      </c>
      <c r="H3" s="597">
        <v>5</v>
      </c>
      <c r="I3" s="597">
        <v>6</v>
      </c>
      <c r="J3" s="597">
        <v>7</v>
      </c>
      <c r="K3" s="597">
        <v>8</v>
      </c>
      <c r="L3" s="597">
        <v>9</v>
      </c>
      <c r="M3" s="597">
        <v>10</v>
      </c>
      <c r="N3" s="597">
        <v>11</v>
      </c>
      <c r="O3" s="597">
        <v>12</v>
      </c>
      <c r="P3" s="598">
        <v>1</v>
      </c>
      <c r="Q3" s="598">
        <v>2</v>
      </c>
      <c r="R3" s="598">
        <v>3</v>
      </c>
      <c r="S3" s="598">
        <v>4</v>
      </c>
      <c r="T3" s="598">
        <v>5</v>
      </c>
      <c r="U3" s="598">
        <v>6</v>
      </c>
      <c r="V3" s="598">
        <v>7</v>
      </c>
      <c r="W3" s="599">
        <v>8</v>
      </c>
      <c r="X3" s="598">
        <v>9</v>
      </c>
      <c r="Y3" s="598">
        <v>10</v>
      </c>
      <c r="Z3" s="598">
        <v>11</v>
      </c>
      <c r="AA3" s="598">
        <v>12</v>
      </c>
      <c r="AB3" s="678">
        <v>1</v>
      </c>
      <c r="AC3" s="678">
        <v>2</v>
      </c>
      <c r="AD3" s="678">
        <v>3</v>
      </c>
      <c r="AE3" s="678">
        <v>4</v>
      </c>
      <c r="AF3" s="678">
        <v>5</v>
      </c>
      <c r="AG3" s="678">
        <v>6</v>
      </c>
      <c r="AH3" s="678">
        <v>7</v>
      </c>
      <c r="AI3" s="679">
        <v>8</v>
      </c>
      <c r="AJ3" s="678">
        <v>9</v>
      </c>
      <c r="AK3" s="678">
        <v>10</v>
      </c>
      <c r="AL3" s="678">
        <v>11</v>
      </c>
      <c r="AM3" s="843">
        <v>12</v>
      </c>
      <c r="AN3" s="844">
        <v>1</v>
      </c>
      <c r="AO3" s="844">
        <v>2</v>
      </c>
      <c r="AP3" s="844">
        <v>3</v>
      </c>
      <c r="AQ3" s="844">
        <v>4</v>
      </c>
      <c r="AR3" s="844">
        <v>5</v>
      </c>
      <c r="AS3" s="844">
        <v>6</v>
      </c>
      <c r="AT3" s="844">
        <v>7</v>
      </c>
      <c r="AU3" s="924">
        <v>8</v>
      </c>
      <c r="AV3" s="1030"/>
      <c r="AW3" s="1030"/>
      <c r="AX3" s="1030"/>
      <c r="AY3" s="1030"/>
      <c r="AZ3" s="1030"/>
    </row>
    <row r="4" spans="1:55" s="197" customFormat="1" ht="18" customHeight="1" x14ac:dyDescent="0.25">
      <c r="A4" s="532">
        <v>1</v>
      </c>
      <c r="B4" s="533" t="s">
        <v>722</v>
      </c>
      <c r="C4" s="601">
        <v>42578</v>
      </c>
      <c r="D4" s="623"/>
      <c r="E4" s="623"/>
      <c r="F4" s="623"/>
      <c r="G4" s="623"/>
      <c r="H4" s="623"/>
      <c r="I4" s="623"/>
      <c r="J4" s="623"/>
      <c r="K4" s="623"/>
      <c r="L4" s="623"/>
      <c r="M4" s="623"/>
      <c r="N4" s="623"/>
      <c r="O4" s="624"/>
      <c r="P4" s="625"/>
      <c r="Q4" s="625"/>
      <c r="R4" s="625"/>
      <c r="S4" s="625"/>
      <c r="T4" s="625"/>
      <c r="U4" s="625"/>
      <c r="V4" s="625"/>
      <c r="W4" s="626"/>
      <c r="X4" s="625"/>
      <c r="Y4" s="625"/>
      <c r="Z4" s="625"/>
      <c r="AA4" s="627"/>
      <c r="AB4" s="680"/>
      <c r="AC4" s="680"/>
      <c r="AD4" s="680"/>
      <c r="AE4" s="680"/>
      <c r="AF4" s="680"/>
      <c r="AG4" s="680"/>
      <c r="AH4" s="680"/>
      <c r="AI4" s="681"/>
      <c r="AJ4" s="680"/>
      <c r="AK4" s="680"/>
      <c r="AL4" s="830"/>
      <c r="AM4" s="845"/>
      <c r="AN4" s="846"/>
      <c r="AO4" s="852"/>
      <c r="AP4" s="852"/>
      <c r="AQ4" s="852"/>
      <c r="AR4" s="852"/>
      <c r="AS4" s="852"/>
      <c r="AT4" s="852"/>
      <c r="AU4" s="852"/>
      <c r="AV4" s="839">
        <f>SUM(D4:U4)</f>
        <v>0</v>
      </c>
      <c r="AW4" s="534">
        <f>SUM(V4:AG4)</f>
        <v>0</v>
      </c>
      <c r="AX4" s="534">
        <f>SUM(W4:AV4)</f>
        <v>0</v>
      </c>
      <c r="AY4" s="534"/>
      <c r="AZ4" s="534">
        <f>SUM(AN4:AU4)</f>
        <v>0</v>
      </c>
      <c r="BA4" s="197" t="str">
        <f t="shared" ref="BA4:BA35" ca="1" si="0">DATEDIF(C4,$BB$1,"Y")&amp;"nam,"&amp;DATEDIF(C4,$BB$1,"YM")&amp;"thang,"&amp;DATEDIF(C4,$BB$1,"MD")&amp;"ngay."</f>
        <v>3nam,2thang,12ngay.</v>
      </c>
    </row>
    <row r="5" spans="1:55" s="197" customFormat="1" ht="18" customHeight="1" x14ac:dyDescent="0.25">
      <c r="A5" s="532">
        <f>A4+1</f>
        <v>2</v>
      </c>
      <c r="B5" s="533" t="s">
        <v>62</v>
      </c>
      <c r="C5" s="601">
        <v>38078</v>
      </c>
      <c r="D5" s="602"/>
      <c r="E5" s="602">
        <v>1</v>
      </c>
      <c r="F5" s="602"/>
      <c r="G5" s="602">
        <v>1</v>
      </c>
      <c r="H5" s="602">
        <v>1</v>
      </c>
      <c r="I5" s="602"/>
      <c r="J5" s="602"/>
      <c r="K5" s="602">
        <v>2</v>
      </c>
      <c r="L5" s="602"/>
      <c r="M5" s="602">
        <v>1</v>
      </c>
      <c r="N5" s="602"/>
      <c r="O5" s="603"/>
      <c r="P5" s="535"/>
      <c r="Q5" s="535"/>
      <c r="R5" s="535"/>
      <c r="S5" s="535"/>
      <c r="T5" s="535"/>
      <c r="U5" s="535"/>
      <c r="V5" s="535"/>
      <c r="W5" s="580">
        <v>1</v>
      </c>
      <c r="X5" s="535"/>
      <c r="Y5" s="535"/>
      <c r="Z5" s="535"/>
      <c r="AA5" s="536"/>
      <c r="AB5" s="682"/>
      <c r="AC5" s="682"/>
      <c r="AD5" s="682">
        <v>1</v>
      </c>
      <c r="AE5" s="682">
        <v>2</v>
      </c>
      <c r="AF5" s="682">
        <v>6</v>
      </c>
      <c r="AG5" s="682"/>
      <c r="AH5" s="682"/>
      <c r="AI5" s="683"/>
      <c r="AJ5" s="682"/>
      <c r="AK5" s="682"/>
      <c r="AL5" s="831"/>
      <c r="AM5" s="845">
        <v>11</v>
      </c>
      <c r="AN5" s="846"/>
      <c r="AO5" s="852"/>
      <c r="AP5" s="852"/>
      <c r="AQ5" s="852"/>
      <c r="AR5" s="852"/>
      <c r="AS5" s="852"/>
      <c r="AT5" s="852"/>
      <c r="AU5" s="852"/>
      <c r="AV5" s="839">
        <f>SUM(D5:U5)</f>
        <v>6</v>
      </c>
      <c r="AW5" s="534">
        <f>SUM(V5:AG5)</f>
        <v>10</v>
      </c>
      <c r="AX5" s="534">
        <f>SUM(W5:AV5)</f>
        <v>27</v>
      </c>
      <c r="AY5" s="534">
        <f>SUM(AG5:AM5)</f>
        <v>11</v>
      </c>
      <c r="AZ5" s="534">
        <f t="shared" ref="AZ5:AZ68" si="1">SUM(AN5:AU5)</f>
        <v>0</v>
      </c>
      <c r="BA5" s="197" t="str">
        <f t="shared" ca="1" si="0"/>
        <v>15nam,6thang,8ngay.</v>
      </c>
    </row>
    <row r="6" spans="1:55" s="197" customFormat="1" ht="18" customHeight="1" x14ac:dyDescent="0.25">
      <c r="A6" s="532">
        <f t="shared" ref="A6:A68" si="2">A5+1</f>
        <v>3</v>
      </c>
      <c r="B6" s="533" t="s">
        <v>63</v>
      </c>
      <c r="C6" s="601">
        <v>40868</v>
      </c>
      <c r="D6" s="602">
        <v>1</v>
      </c>
      <c r="E6" s="602">
        <v>2</v>
      </c>
      <c r="F6" s="602"/>
      <c r="G6" s="602"/>
      <c r="H6" s="602"/>
      <c r="I6" s="602">
        <v>3</v>
      </c>
      <c r="J6" s="602"/>
      <c r="K6" s="602">
        <v>2</v>
      </c>
      <c r="L6" s="602"/>
      <c r="M6" s="602"/>
      <c r="N6" s="602"/>
      <c r="O6" s="603"/>
      <c r="P6" s="535"/>
      <c r="Q6" s="535"/>
      <c r="R6" s="535"/>
      <c r="S6" s="535"/>
      <c r="T6" s="535">
        <v>6</v>
      </c>
      <c r="U6" s="535"/>
      <c r="V6" s="535"/>
      <c r="W6" s="580"/>
      <c r="X6" s="535"/>
      <c r="Y6" s="535"/>
      <c r="Z6" s="535"/>
      <c r="AA6" s="536"/>
      <c r="AB6" s="682"/>
      <c r="AC6" s="682"/>
      <c r="AD6" s="682"/>
      <c r="AE6" s="682"/>
      <c r="AF6" s="682"/>
      <c r="AG6" s="682"/>
      <c r="AH6" s="682"/>
      <c r="AI6" s="683">
        <v>2</v>
      </c>
      <c r="AJ6" s="682"/>
      <c r="AK6" s="682"/>
      <c r="AL6" s="831"/>
      <c r="AM6" s="845"/>
      <c r="AN6" s="846"/>
      <c r="AO6" s="852"/>
      <c r="AP6" s="852"/>
      <c r="AQ6" s="852"/>
      <c r="AR6" s="852"/>
      <c r="AS6" s="852"/>
      <c r="AT6" s="852"/>
      <c r="AU6" s="852"/>
      <c r="AV6" s="839">
        <f>SUM(D6:U6)</f>
        <v>14</v>
      </c>
      <c r="AW6" s="534">
        <f>SUM(V6:AG6)</f>
        <v>0</v>
      </c>
      <c r="AX6" s="534">
        <f>SUM(W6:AV6)</f>
        <v>16</v>
      </c>
      <c r="AY6" s="534">
        <f>SUM(AH6:AM6)</f>
        <v>2</v>
      </c>
      <c r="AZ6" s="534">
        <f t="shared" si="1"/>
        <v>0</v>
      </c>
      <c r="BA6" s="197" t="str">
        <f t="shared" ca="1" si="0"/>
        <v>7nam,10thang,18ngay.</v>
      </c>
    </row>
    <row r="7" spans="1:55" s="197" customFormat="1" ht="18" customHeight="1" x14ac:dyDescent="0.25">
      <c r="A7" s="423">
        <f t="shared" si="2"/>
        <v>4</v>
      </c>
      <c r="B7" s="533" t="s">
        <v>64</v>
      </c>
      <c r="C7" s="601">
        <v>41715</v>
      </c>
      <c r="D7" s="602"/>
      <c r="E7" s="602"/>
      <c r="F7" s="602"/>
      <c r="G7" s="602"/>
      <c r="H7" s="602"/>
      <c r="I7" s="602"/>
      <c r="J7" s="602"/>
      <c r="K7" s="602">
        <v>1</v>
      </c>
      <c r="L7" s="602"/>
      <c r="M7" s="602"/>
      <c r="N7" s="602"/>
      <c r="O7" s="603"/>
      <c r="P7" s="535"/>
      <c r="Q7" s="535"/>
      <c r="R7" s="535"/>
      <c r="S7" s="535"/>
      <c r="T7" s="535"/>
      <c r="U7" s="535"/>
      <c r="V7" s="535"/>
      <c r="W7" s="580"/>
      <c r="X7" s="535"/>
      <c r="Y7" s="535"/>
      <c r="Z7" s="535"/>
      <c r="AA7" s="536"/>
      <c r="AB7" s="682"/>
      <c r="AC7" s="682"/>
      <c r="AD7" s="682">
        <v>5</v>
      </c>
      <c r="AE7" s="682"/>
      <c r="AF7" s="682"/>
      <c r="AG7" s="682"/>
      <c r="AH7" s="682"/>
      <c r="AI7" s="683"/>
      <c r="AJ7" s="682"/>
      <c r="AK7" s="682"/>
      <c r="AL7" s="831"/>
      <c r="AM7" s="845"/>
      <c r="AN7" s="846"/>
      <c r="AO7" s="852"/>
      <c r="AP7" s="852"/>
      <c r="AQ7" s="852"/>
      <c r="AR7" s="852"/>
      <c r="AS7" s="852"/>
      <c r="AT7" s="852"/>
      <c r="AU7" s="852"/>
      <c r="AV7" s="839">
        <f>SUM(D7:U7)</f>
        <v>1</v>
      </c>
      <c r="AW7" s="534">
        <f t="shared" ref="AW7:AW67" si="3">SUM(V7:AG7)</f>
        <v>5</v>
      </c>
      <c r="AX7" s="534">
        <f>SUM(W7:AV7)</f>
        <v>6</v>
      </c>
      <c r="AY7" s="534"/>
      <c r="AZ7" s="534">
        <f t="shared" si="1"/>
        <v>0</v>
      </c>
      <c r="BA7" s="197" t="str">
        <f t="shared" ca="1" si="0"/>
        <v>5nam,6thang,22ngay.</v>
      </c>
    </row>
    <row r="8" spans="1:55" s="197" customFormat="1" ht="18" customHeight="1" x14ac:dyDescent="0.25">
      <c r="A8" s="423">
        <f t="shared" si="2"/>
        <v>5</v>
      </c>
      <c r="B8" s="533" t="s">
        <v>65</v>
      </c>
      <c r="C8" s="601">
        <v>42086</v>
      </c>
      <c r="D8" s="602"/>
      <c r="E8" s="602"/>
      <c r="F8" s="602"/>
      <c r="G8" s="602"/>
      <c r="H8" s="602"/>
      <c r="I8" s="602"/>
      <c r="J8" s="602">
        <v>9</v>
      </c>
      <c r="K8" s="602">
        <v>2</v>
      </c>
      <c r="L8" s="602"/>
      <c r="M8" s="602"/>
      <c r="N8" s="602"/>
      <c r="O8" s="603"/>
      <c r="P8" s="535"/>
      <c r="Q8" s="535"/>
      <c r="R8" s="535"/>
      <c r="S8" s="535">
        <v>1</v>
      </c>
      <c r="T8" s="535">
        <v>6</v>
      </c>
      <c r="U8" s="535"/>
      <c r="V8" s="535"/>
      <c r="W8" s="580"/>
      <c r="X8" s="535"/>
      <c r="Y8" s="535"/>
      <c r="Z8" s="535">
        <v>3</v>
      </c>
      <c r="AA8" s="536"/>
      <c r="AB8" s="682">
        <v>3</v>
      </c>
      <c r="AC8" s="682"/>
      <c r="AD8" s="682">
        <v>3</v>
      </c>
      <c r="AE8" s="682">
        <v>1</v>
      </c>
      <c r="AF8" s="682"/>
      <c r="AG8" s="682"/>
      <c r="AH8" s="682"/>
      <c r="AI8" s="683">
        <v>4</v>
      </c>
      <c r="AJ8" s="682"/>
      <c r="AK8" s="682">
        <v>1</v>
      </c>
      <c r="AL8" s="831"/>
      <c r="AM8" s="845"/>
      <c r="AN8" s="846"/>
      <c r="AO8" s="852">
        <v>3</v>
      </c>
      <c r="AP8" s="852">
        <v>9</v>
      </c>
      <c r="AQ8" s="852"/>
      <c r="AR8" s="852"/>
      <c r="AS8" s="852"/>
      <c r="AT8" s="852"/>
      <c r="AU8" s="852"/>
      <c r="AV8" s="839">
        <f>SUM(H8:S8)</f>
        <v>12</v>
      </c>
      <c r="AW8" s="630">
        <f>SUM(T8:AC8)</f>
        <v>12</v>
      </c>
      <c r="AX8" s="534">
        <f>SUM(U8:AV8)</f>
        <v>39</v>
      </c>
      <c r="AY8" s="534">
        <f>SUM(AC8:AO8)</f>
        <v>12</v>
      </c>
      <c r="AZ8" s="534">
        <f t="shared" si="1"/>
        <v>12</v>
      </c>
      <c r="BA8" s="197" t="str">
        <f t="shared" ca="1" si="0"/>
        <v>4nam,6thang,16ngay.</v>
      </c>
    </row>
    <row r="9" spans="1:55" s="283" customFormat="1" ht="18" customHeight="1" x14ac:dyDescent="0.25">
      <c r="A9" s="423">
        <f t="shared" si="2"/>
        <v>6</v>
      </c>
      <c r="B9" s="533" t="s">
        <v>362</v>
      </c>
      <c r="C9" s="601">
        <v>42139</v>
      </c>
      <c r="D9" s="604"/>
      <c r="E9" s="604"/>
      <c r="F9" s="604"/>
      <c r="G9" s="604"/>
      <c r="H9" s="604"/>
      <c r="I9" s="604"/>
      <c r="J9" s="604"/>
      <c r="K9" s="604"/>
      <c r="L9" s="604">
        <v>3</v>
      </c>
      <c r="M9" s="604">
        <v>4</v>
      </c>
      <c r="N9" s="604"/>
      <c r="O9" s="605"/>
      <c r="P9" s="537">
        <v>4</v>
      </c>
      <c r="Q9" s="537">
        <v>1</v>
      </c>
      <c r="R9" s="537">
        <v>2</v>
      </c>
      <c r="S9" s="537">
        <v>3</v>
      </c>
      <c r="T9" s="537"/>
      <c r="U9" s="537"/>
      <c r="V9" s="537"/>
      <c r="W9" s="581"/>
      <c r="X9" s="537"/>
      <c r="Y9" s="537"/>
      <c r="Z9" s="537">
        <v>1</v>
      </c>
      <c r="AA9" s="538"/>
      <c r="AB9" s="684"/>
      <c r="AC9" s="684">
        <v>3</v>
      </c>
      <c r="AD9" s="684"/>
      <c r="AE9" s="684">
        <v>3</v>
      </c>
      <c r="AF9" s="684">
        <v>3</v>
      </c>
      <c r="AG9" s="684"/>
      <c r="AH9" s="684"/>
      <c r="AI9" s="685">
        <v>4</v>
      </c>
      <c r="AJ9" s="684"/>
      <c r="AK9" s="684"/>
      <c r="AL9" s="832"/>
      <c r="AM9" s="847"/>
      <c r="AN9" s="848"/>
      <c r="AO9" s="853"/>
      <c r="AP9" s="853"/>
      <c r="AQ9" s="853"/>
      <c r="AR9" s="853"/>
      <c r="AS9" s="853"/>
      <c r="AT9" s="853"/>
      <c r="AU9" s="853"/>
      <c r="AV9" s="839">
        <f>SUM(D9:Q9)</f>
        <v>12</v>
      </c>
      <c r="AW9" s="534">
        <f>SUM(R9:AE9)</f>
        <v>12</v>
      </c>
      <c r="AX9" s="534">
        <f>SUM(S9:AV9)</f>
        <v>29</v>
      </c>
      <c r="AY9" s="534">
        <f>SUM(AF9:AM9)</f>
        <v>7</v>
      </c>
      <c r="AZ9" s="534">
        <f t="shared" si="1"/>
        <v>0</v>
      </c>
      <c r="BA9" s="197" t="str">
        <f t="shared" ca="1" si="0"/>
        <v>4nam,4thang,24ngay.</v>
      </c>
    </row>
    <row r="10" spans="1:55" s="283" customFormat="1" ht="18" customHeight="1" x14ac:dyDescent="0.25">
      <c r="A10" s="423">
        <f t="shared" si="2"/>
        <v>7</v>
      </c>
      <c r="B10" s="533" t="s">
        <v>32</v>
      </c>
      <c r="C10" s="601">
        <v>41877</v>
      </c>
      <c r="D10" s="604"/>
      <c r="E10" s="604"/>
      <c r="F10" s="604"/>
      <c r="G10" s="604"/>
      <c r="H10" s="604"/>
      <c r="I10" s="604"/>
      <c r="J10" s="604"/>
      <c r="K10" s="604">
        <v>2</v>
      </c>
      <c r="L10" s="604"/>
      <c r="M10" s="604">
        <v>1</v>
      </c>
      <c r="N10" s="604">
        <v>3</v>
      </c>
      <c r="O10" s="605"/>
      <c r="P10" s="537"/>
      <c r="Q10" s="537">
        <v>1</v>
      </c>
      <c r="R10" s="537"/>
      <c r="S10" s="537"/>
      <c r="T10" s="537"/>
      <c r="U10" s="537"/>
      <c r="V10" s="537"/>
      <c r="W10" s="581"/>
      <c r="X10" s="537">
        <v>1</v>
      </c>
      <c r="Y10" s="537"/>
      <c r="Z10" s="537">
        <v>1</v>
      </c>
      <c r="AA10" s="538"/>
      <c r="AB10" s="684"/>
      <c r="AC10" s="684"/>
      <c r="AD10" s="684"/>
      <c r="AE10" s="684"/>
      <c r="AF10" s="684"/>
      <c r="AG10" s="684"/>
      <c r="AH10" s="684"/>
      <c r="AI10" s="685">
        <v>1</v>
      </c>
      <c r="AJ10" s="795">
        <v>1.5</v>
      </c>
      <c r="AK10" s="684"/>
      <c r="AL10" s="832"/>
      <c r="AM10" s="847">
        <v>2</v>
      </c>
      <c r="AN10" s="848"/>
      <c r="AO10" s="853"/>
      <c r="AP10" s="853"/>
      <c r="AQ10" s="853"/>
      <c r="AR10" s="853"/>
      <c r="AS10" s="853"/>
      <c r="AT10" s="853"/>
      <c r="AU10" s="853"/>
      <c r="AV10" s="839">
        <f t="shared" ref="AV10:AV16" si="4">SUM(D10:U10)</f>
        <v>7</v>
      </c>
      <c r="AW10" s="534">
        <f t="shared" si="3"/>
        <v>2</v>
      </c>
      <c r="AX10" s="534">
        <f t="shared" ref="AX10:AX16" si="5">SUM(W10:AV10)</f>
        <v>13.5</v>
      </c>
      <c r="AY10" s="534">
        <f>SUM(AH10:AM10)</f>
        <v>4.5</v>
      </c>
      <c r="AZ10" s="534">
        <f t="shared" si="1"/>
        <v>0</v>
      </c>
      <c r="BA10" s="197" t="str">
        <f t="shared" ca="1" si="0"/>
        <v>5nam,1thang,13ngay.</v>
      </c>
    </row>
    <row r="11" spans="1:55" s="197" customFormat="1" ht="18" customHeight="1" x14ac:dyDescent="0.25">
      <c r="A11" s="423">
        <f t="shared" si="2"/>
        <v>8</v>
      </c>
      <c r="B11" s="533" t="s">
        <v>59</v>
      </c>
      <c r="C11" s="606" t="s">
        <v>726</v>
      </c>
      <c r="D11" s="602"/>
      <c r="E11" s="602"/>
      <c r="F11" s="602"/>
      <c r="G11" s="602"/>
      <c r="H11" s="602"/>
      <c r="I11" s="602"/>
      <c r="J11" s="602"/>
      <c r="K11" s="602"/>
      <c r="L11" s="602"/>
      <c r="M11" s="602"/>
      <c r="N11" s="602"/>
      <c r="O11" s="603"/>
      <c r="P11" s="535"/>
      <c r="Q11" s="535"/>
      <c r="R11" s="535"/>
      <c r="S11" s="535"/>
      <c r="T11" s="535"/>
      <c r="U11" s="535"/>
      <c r="V11" s="535"/>
      <c r="W11" s="580"/>
      <c r="X11" s="535"/>
      <c r="Y11" s="535"/>
      <c r="Z11" s="535"/>
      <c r="AA11" s="536"/>
      <c r="AB11" s="682"/>
      <c r="AC11" s="682">
        <v>2</v>
      </c>
      <c r="AD11" s="682"/>
      <c r="AE11" s="682"/>
      <c r="AF11" s="682"/>
      <c r="AG11" s="682"/>
      <c r="AH11" s="682"/>
      <c r="AI11" s="683"/>
      <c r="AJ11" s="682"/>
      <c r="AK11" s="682"/>
      <c r="AL11" s="831"/>
      <c r="AM11" s="845"/>
      <c r="AN11" s="846"/>
      <c r="AO11" s="852"/>
      <c r="AP11" s="852"/>
      <c r="AQ11" s="852"/>
      <c r="AR11" s="852"/>
      <c r="AS11" s="852"/>
      <c r="AT11" s="852"/>
      <c r="AU11" s="852"/>
      <c r="AV11" s="839">
        <f t="shared" si="4"/>
        <v>0</v>
      </c>
      <c r="AW11" s="534">
        <f t="shared" si="3"/>
        <v>2</v>
      </c>
      <c r="AX11" s="534">
        <f t="shared" si="5"/>
        <v>2</v>
      </c>
      <c r="AY11" s="534"/>
      <c r="AZ11" s="534">
        <f t="shared" si="1"/>
        <v>0</v>
      </c>
      <c r="BA11" s="197" t="str">
        <f t="shared" ca="1" si="0"/>
        <v>4nam,7thang,8ngay.</v>
      </c>
    </row>
    <row r="12" spans="1:55" s="197" customFormat="1" ht="18" customHeight="1" x14ac:dyDescent="0.25">
      <c r="A12" s="423">
        <f t="shared" si="2"/>
        <v>9</v>
      </c>
      <c r="B12" s="533" t="s">
        <v>724</v>
      </c>
      <c r="C12" s="606" t="s">
        <v>727</v>
      </c>
      <c r="D12" s="602"/>
      <c r="E12" s="602"/>
      <c r="F12" s="602"/>
      <c r="G12" s="602"/>
      <c r="H12" s="602"/>
      <c r="I12" s="602"/>
      <c r="J12" s="602"/>
      <c r="K12" s="602"/>
      <c r="L12" s="602"/>
      <c r="M12" s="602"/>
      <c r="N12" s="602"/>
      <c r="O12" s="603"/>
      <c r="P12" s="535"/>
      <c r="Q12" s="535"/>
      <c r="R12" s="535"/>
      <c r="S12" s="535"/>
      <c r="T12" s="535"/>
      <c r="U12" s="535"/>
      <c r="V12" s="535"/>
      <c r="W12" s="580"/>
      <c r="X12" s="535">
        <v>3</v>
      </c>
      <c r="Y12" s="535"/>
      <c r="Z12" s="535"/>
      <c r="AA12" s="536"/>
      <c r="AB12" s="682">
        <v>1</v>
      </c>
      <c r="AC12" s="682">
        <v>3</v>
      </c>
      <c r="AD12" s="682"/>
      <c r="AE12" s="682"/>
      <c r="AF12" s="682"/>
      <c r="AG12" s="682"/>
      <c r="AH12" s="682"/>
      <c r="AI12" s="683"/>
      <c r="AJ12" s="682"/>
      <c r="AK12" s="682"/>
      <c r="AL12" s="831"/>
      <c r="AM12" s="845"/>
      <c r="AN12" s="846"/>
      <c r="AO12" s="852"/>
      <c r="AP12" s="852"/>
      <c r="AQ12" s="852"/>
      <c r="AR12" s="852"/>
      <c r="AS12" s="852"/>
      <c r="AT12" s="852"/>
      <c r="AU12" s="852"/>
      <c r="AV12" s="839">
        <f t="shared" si="4"/>
        <v>0</v>
      </c>
      <c r="AW12" s="534">
        <f t="shared" si="3"/>
        <v>7</v>
      </c>
      <c r="AX12" s="534">
        <f t="shared" si="5"/>
        <v>7</v>
      </c>
      <c r="AY12" s="534"/>
      <c r="AZ12" s="534">
        <f t="shared" si="1"/>
        <v>0</v>
      </c>
      <c r="BA12" s="197" t="str">
        <f t="shared" ca="1" si="0"/>
        <v>3nam,1thang,4ngay.</v>
      </c>
    </row>
    <row r="13" spans="1:55" s="197" customFormat="1" ht="18" customHeight="1" x14ac:dyDescent="0.25">
      <c r="A13" s="423">
        <f t="shared" si="2"/>
        <v>10</v>
      </c>
      <c r="B13" s="533" t="s">
        <v>67</v>
      </c>
      <c r="C13" s="601">
        <v>41108</v>
      </c>
      <c r="D13" s="602"/>
      <c r="E13" s="602"/>
      <c r="F13" s="602"/>
      <c r="G13" s="602"/>
      <c r="H13" s="602"/>
      <c r="I13" s="602"/>
      <c r="J13" s="602"/>
      <c r="K13" s="602"/>
      <c r="L13" s="602">
        <v>3</v>
      </c>
      <c r="M13" s="602">
        <v>1</v>
      </c>
      <c r="N13" s="602">
        <v>2</v>
      </c>
      <c r="O13" s="603">
        <v>1</v>
      </c>
      <c r="P13" s="535">
        <v>1</v>
      </c>
      <c r="Q13" s="535"/>
      <c r="R13" s="535">
        <v>1</v>
      </c>
      <c r="S13" s="535">
        <v>1</v>
      </c>
      <c r="T13" s="535"/>
      <c r="U13" s="535">
        <v>1</v>
      </c>
      <c r="V13" s="535">
        <v>1</v>
      </c>
      <c r="W13" s="580"/>
      <c r="X13" s="535"/>
      <c r="Y13" s="535">
        <v>2</v>
      </c>
      <c r="Z13" s="535"/>
      <c r="AA13" s="536">
        <v>3</v>
      </c>
      <c r="AB13" s="682"/>
      <c r="AC13" s="682"/>
      <c r="AD13" s="682"/>
      <c r="AE13" s="682">
        <v>1</v>
      </c>
      <c r="AF13" s="682">
        <v>1</v>
      </c>
      <c r="AG13" s="682">
        <v>1</v>
      </c>
      <c r="AH13" s="682">
        <v>1</v>
      </c>
      <c r="AI13" s="683"/>
      <c r="AJ13" s="682"/>
      <c r="AK13" s="682">
        <v>2</v>
      </c>
      <c r="AL13" s="831"/>
      <c r="AM13" s="845">
        <v>1</v>
      </c>
      <c r="AN13" s="846">
        <v>1</v>
      </c>
      <c r="AO13" s="852"/>
      <c r="AP13" s="852">
        <v>2</v>
      </c>
      <c r="AQ13" s="852"/>
      <c r="AR13" s="852"/>
      <c r="AS13" s="852"/>
      <c r="AT13" s="852">
        <v>4</v>
      </c>
      <c r="AU13" s="852">
        <v>1</v>
      </c>
      <c r="AV13" s="839">
        <f t="shared" si="4"/>
        <v>11</v>
      </c>
      <c r="AW13" s="534">
        <f>SUM(V13:AG13)</f>
        <v>9</v>
      </c>
      <c r="AX13" s="534">
        <f t="shared" si="5"/>
        <v>31</v>
      </c>
      <c r="AY13" s="534">
        <f>SUM(AH13:AP13)</f>
        <v>7</v>
      </c>
      <c r="AZ13" s="534">
        <f t="shared" si="1"/>
        <v>8</v>
      </c>
      <c r="BA13" s="197" t="str">
        <f t="shared" ca="1" si="0"/>
        <v>7nam,2thang,21ngay.</v>
      </c>
    </row>
    <row r="14" spans="1:55" s="197" customFormat="1" ht="18" customHeight="1" x14ac:dyDescent="0.25">
      <c r="A14" s="423">
        <f t="shared" si="2"/>
        <v>11</v>
      </c>
      <c r="B14" s="533" t="s">
        <v>72</v>
      </c>
      <c r="C14" s="601">
        <v>41611</v>
      </c>
      <c r="D14" s="602"/>
      <c r="E14" s="602"/>
      <c r="F14" s="602"/>
      <c r="G14" s="602"/>
      <c r="H14" s="602"/>
      <c r="I14" s="602">
        <v>1</v>
      </c>
      <c r="J14" s="602"/>
      <c r="K14" s="602"/>
      <c r="L14" s="602">
        <v>3</v>
      </c>
      <c r="M14" s="602"/>
      <c r="N14" s="602"/>
      <c r="O14" s="603"/>
      <c r="P14" s="535">
        <v>4</v>
      </c>
      <c r="Q14" s="535">
        <v>3</v>
      </c>
      <c r="R14" s="535"/>
      <c r="S14" s="535"/>
      <c r="T14" s="535">
        <v>1</v>
      </c>
      <c r="U14" s="535"/>
      <c r="V14" s="535"/>
      <c r="W14" s="580"/>
      <c r="X14" s="535"/>
      <c r="Y14" s="535">
        <v>4</v>
      </c>
      <c r="Z14" s="535"/>
      <c r="AA14" s="536"/>
      <c r="AB14" s="682">
        <v>3</v>
      </c>
      <c r="AC14" s="682"/>
      <c r="AD14" s="682">
        <v>1</v>
      </c>
      <c r="AE14" s="682"/>
      <c r="AF14" s="682"/>
      <c r="AG14" s="682">
        <v>1</v>
      </c>
      <c r="AH14" s="682"/>
      <c r="AI14" s="683"/>
      <c r="AJ14" s="682"/>
      <c r="AK14" s="682">
        <v>4</v>
      </c>
      <c r="AL14" s="831"/>
      <c r="AM14" s="845"/>
      <c r="AN14" s="846"/>
      <c r="AO14" s="852">
        <v>7</v>
      </c>
      <c r="AP14" s="852"/>
      <c r="AQ14" s="852"/>
      <c r="AR14" s="852"/>
      <c r="AS14" s="852"/>
      <c r="AT14" s="852">
        <v>1</v>
      </c>
      <c r="AU14" s="852"/>
      <c r="AV14" s="839">
        <f t="shared" si="4"/>
        <v>12</v>
      </c>
      <c r="AW14" s="534">
        <f>SUM(V14:AG14)</f>
        <v>9</v>
      </c>
      <c r="AX14" s="534">
        <f t="shared" si="5"/>
        <v>33</v>
      </c>
      <c r="AY14" s="534">
        <f>SUM(AH14:AO14)</f>
        <v>11</v>
      </c>
      <c r="AZ14" s="534">
        <f t="shared" si="1"/>
        <v>8</v>
      </c>
      <c r="BA14" s="197" t="str">
        <f t="shared" ca="1" si="0"/>
        <v>5nam,10thang,6ngay.</v>
      </c>
    </row>
    <row r="15" spans="1:55" s="197" customFormat="1" ht="18" customHeight="1" x14ac:dyDescent="0.25">
      <c r="A15" s="423">
        <f t="shared" si="2"/>
        <v>12</v>
      </c>
      <c r="B15" s="533" t="s">
        <v>68</v>
      </c>
      <c r="C15" s="607">
        <v>41739</v>
      </c>
      <c r="D15" s="602"/>
      <c r="E15" s="602"/>
      <c r="F15" s="602"/>
      <c r="G15" s="602"/>
      <c r="H15" s="602"/>
      <c r="I15" s="602"/>
      <c r="J15" s="602">
        <v>2</v>
      </c>
      <c r="K15" s="602"/>
      <c r="L15" s="602"/>
      <c r="M15" s="602"/>
      <c r="N15" s="602"/>
      <c r="O15" s="603">
        <v>2</v>
      </c>
      <c r="P15" s="535">
        <v>1</v>
      </c>
      <c r="Q15" s="535">
        <v>3</v>
      </c>
      <c r="R15" s="535">
        <v>2</v>
      </c>
      <c r="S15" s="535"/>
      <c r="T15" s="535">
        <v>1</v>
      </c>
      <c r="U15" s="535">
        <v>1</v>
      </c>
      <c r="V15" s="535">
        <v>4</v>
      </c>
      <c r="W15" s="580"/>
      <c r="X15" s="535">
        <v>1</v>
      </c>
      <c r="Y15" s="535"/>
      <c r="Z15" s="535">
        <v>3</v>
      </c>
      <c r="AA15" s="536">
        <v>3</v>
      </c>
      <c r="AB15" s="682"/>
      <c r="AC15" s="682"/>
      <c r="AD15" s="682">
        <v>1</v>
      </c>
      <c r="AE15" s="682">
        <v>1</v>
      </c>
      <c r="AF15" s="682"/>
      <c r="AG15" s="682">
        <v>1</v>
      </c>
      <c r="AH15" s="682"/>
      <c r="AI15" s="683">
        <v>3</v>
      </c>
      <c r="AJ15" s="682"/>
      <c r="AK15" s="682">
        <v>2</v>
      </c>
      <c r="AL15" s="831">
        <v>2</v>
      </c>
      <c r="AM15" s="845">
        <v>1</v>
      </c>
      <c r="AN15" s="846">
        <v>2</v>
      </c>
      <c r="AO15" s="852">
        <v>2</v>
      </c>
      <c r="AP15" s="852"/>
      <c r="AQ15" s="852">
        <v>2</v>
      </c>
      <c r="AR15" s="852"/>
      <c r="AS15" s="852"/>
      <c r="AT15" s="852"/>
      <c r="AU15" s="852"/>
      <c r="AV15" s="839">
        <f t="shared" si="4"/>
        <v>12</v>
      </c>
      <c r="AW15" s="534">
        <f>SUM(V15:AG15)</f>
        <v>14</v>
      </c>
      <c r="AX15" s="534">
        <f t="shared" si="5"/>
        <v>36</v>
      </c>
      <c r="AY15" s="534">
        <f>SUM(AE15:AN15)</f>
        <v>12</v>
      </c>
      <c r="AZ15" s="534">
        <f t="shared" si="1"/>
        <v>6</v>
      </c>
      <c r="BA15" s="197" t="str">
        <f t="shared" ca="1" si="0"/>
        <v>5nam,5thang,29ngay.</v>
      </c>
    </row>
    <row r="16" spans="1:55" s="197" customFormat="1" ht="18" customHeight="1" x14ac:dyDescent="0.25">
      <c r="A16" s="423">
        <f t="shared" si="2"/>
        <v>13</v>
      </c>
      <c r="B16" s="533" t="s">
        <v>74</v>
      </c>
      <c r="C16" s="607">
        <v>37257</v>
      </c>
      <c r="D16" s="602"/>
      <c r="E16" s="602"/>
      <c r="F16" s="602"/>
      <c r="G16" s="602"/>
      <c r="H16" s="602"/>
      <c r="I16" s="602"/>
      <c r="J16" s="602">
        <v>1</v>
      </c>
      <c r="K16" s="602"/>
      <c r="L16" s="602">
        <v>1</v>
      </c>
      <c r="M16" s="602"/>
      <c r="N16" s="602"/>
      <c r="O16" s="603">
        <v>1</v>
      </c>
      <c r="P16" s="535">
        <v>1</v>
      </c>
      <c r="Q16" s="535">
        <v>2</v>
      </c>
      <c r="R16" s="535">
        <v>1</v>
      </c>
      <c r="S16" s="535"/>
      <c r="T16" s="535"/>
      <c r="U16" s="535"/>
      <c r="V16" s="535"/>
      <c r="W16" s="580">
        <v>1</v>
      </c>
      <c r="X16" s="535">
        <v>3</v>
      </c>
      <c r="Y16" s="535">
        <v>1</v>
      </c>
      <c r="Z16" s="535">
        <v>1</v>
      </c>
      <c r="AA16" s="536">
        <v>1</v>
      </c>
      <c r="AB16" s="682"/>
      <c r="AC16" s="682"/>
      <c r="AD16" s="682"/>
      <c r="AE16" s="682"/>
      <c r="AF16" s="682">
        <v>1</v>
      </c>
      <c r="AG16" s="682">
        <v>1</v>
      </c>
      <c r="AH16" s="682">
        <v>2</v>
      </c>
      <c r="AI16" s="683"/>
      <c r="AJ16" s="682"/>
      <c r="AK16" s="682"/>
      <c r="AL16" s="831">
        <v>1</v>
      </c>
      <c r="AM16" s="845"/>
      <c r="AN16" s="846"/>
      <c r="AO16" s="852"/>
      <c r="AP16" s="852"/>
      <c r="AQ16" s="852">
        <v>3</v>
      </c>
      <c r="AR16" s="852">
        <v>4</v>
      </c>
      <c r="AS16" s="852"/>
      <c r="AT16" s="852">
        <v>2</v>
      </c>
      <c r="AU16" s="852"/>
      <c r="AV16" s="839">
        <f t="shared" si="4"/>
        <v>7</v>
      </c>
      <c r="AW16" s="534">
        <f t="shared" si="3"/>
        <v>9</v>
      </c>
      <c r="AX16" s="534">
        <f t="shared" si="5"/>
        <v>28</v>
      </c>
      <c r="AY16" s="534">
        <f>SUM(AH16:AR16)</f>
        <v>10</v>
      </c>
      <c r="AZ16" s="534">
        <f t="shared" si="1"/>
        <v>9</v>
      </c>
      <c r="BA16" s="197" t="str">
        <f t="shared" ca="1" si="0"/>
        <v>17nam,9thang,8ngay.</v>
      </c>
    </row>
    <row r="17" spans="1:53" s="631" customFormat="1" ht="18" customHeight="1" x14ac:dyDescent="0.25">
      <c r="A17" s="423">
        <f t="shared" si="2"/>
        <v>14</v>
      </c>
      <c r="B17" s="628" t="s">
        <v>368</v>
      </c>
      <c r="C17" s="629">
        <v>37622</v>
      </c>
      <c r="D17" s="535"/>
      <c r="E17" s="535"/>
      <c r="F17" s="535"/>
      <c r="G17" s="535">
        <v>4</v>
      </c>
      <c r="H17" s="535"/>
      <c r="I17" s="535">
        <v>5</v>
      </c>
      <c r="J17" s="535"/>
      <c r="K17" s="535"/>
      <c r="L17" s="535">
        <v>3</v>
      </c>
      <c r="M17" s="535"/>
      <c r="N17" s="535"/>
      <c r="O17" s="536">
        <v>2</v>
      </c>
      <c r="P17" s="535">
        <v>1</v>
      </c>
      <c r="Q17" s="535">
        <v>1</v>
      </c>
      <c r="R17" s="535"/>
      <c r="S17" s="535">
        <v>1</v>
      </c>
      <c r="T17" s="535">
        <v>3</v>
      </c>
      <c r="U17" s="535">
        <v>4</v>
      </c>
      <c r="V17" s="535">
        <v>3</v>
      </c>
      <c r="W17" s="580">
        <v>3</v>
      </c>
      <c r="X17" s="535"/>
      <c r="Y17" s="535"/>
      <c r="Z17" s="535"/>
      <c r="AA17" s="536"/>
      <c r="AB17" s="682"/>
      <c r="AC17" s="682">
        <v>1</v>
      </c>
      <c r="AD17" s="682"/>
      <c r="AE17" s="682">
        <v>1</v>
      </c>
      <c r="AF17" s="682">
        <v>1</v>
      </c>
      <c r="AG17" s="682">
        <v>1</v>
      </c>
      <c r="AH17" s="682"/>
      <c r="AI17" s="683">
        <v>1</v>
      </c>
      <c r="AJ17" s="682"/>
      <c r="AK17" s="682"/>
      <c r="AL17" s="831">
        <v>1</v>
      </c>
      <c r="AM17" s="845">
        <v>2</v>
      </c>
      <c r="AN17" s="846">
        <v>2</v>
      </c>
      <c r="AO17" s="852">
        <v>2</v>
      </c>
      <c r="AP17" s="852">
        <v>3</v>
      </c>
      <c r="AQ17" s="852">
        <v>2</v>
      </c>
      <c r="AR17" s="852"/>
      <c r="AS17" s="852"/>
      <c r="AT17" s="852"/>
      <c r="AU17" s="852"/>
      <c r="AV17" s="840">
        <f>SUM(D17:Q17)</f>
        <v>16</v>
      </c>
      <c r="AW17" s="534">
        <f>SUM(R17:AA17)</f>
        <v>14</v>
      </c>
      <c r="AX17" s="630">
        <f>SUM(S17:AV17)</f>
        <v>47</v>
      </c>
      <c r="AY17" s="630">
        <f>SUM(AB17:AP17)</f>
        <v>15</v>
      </c>
      <c r="AZ17" s="534">
        <f t="shared" si="1"/>
        <v>9</v>
      </c>
      <c r="BA17" s="631" t="str">
        <f t="shared" ca="1" si="0"/>
        <v>16nam,9thang,8ngay.</v>
      </c>
    </row>
    <row r="18" spans="1:53" s="197" customFormat="1" ht="18" customHeight="1" x14ac:dyDescent="0.25">
      <c r="A18" s="423">
        <f t="shared" si="2"/>
        <v>15</v>
      </c>
      <c r="B18" s="533" t="s">
        <v>75</v>
      </c>
      <c r="C18" s="607">
        <v>41321</v>
      </c>
      <c r="D18" s="602"/>
      <c r="E18" s="602"/>
      <c r="F18" s="602"/>
      <c r="G18" s="602"/>
      <c r="H18" s="602"/>
      <c r="I18" s="602">
        <v>2</v>
      </c>
      <c r="J18" s="602">
        <v>4</v>
      </c>
      <c r="K18" s="602"/>
      <c r="L18" s="602">
        <v>1</v>
      </c>
      <c r="M18" s="602"/>
      <c r="N18" s="602"/>
      <c r="O18" s="603">
        <v>2</v>
      </c>
      <c r="P18" s="535">
        <v>2</v>
      </c>
      <c r="Q18" s="535">
        <v>1</v>
      </c>
      <c r="R18" s="535">
        <v>6</v>
      </c>
      <c r="S18" s="535">
        <v>1</v>
      </c>
      <c r="T18" s="535"/>
      <c r="U18" s="535">
        <v>1</v>
      </c>
      <c r="V18" s="535"/>
      <c r="W18" s="580">
        <v>3</v>
      </c>
      <c r="X18" s="535"/>
      <c r="Y18" s="535"/>
      <c r="Z18" s="535"/>
      <c r="AA18" s="536"/>
      <c r="AB18" s="682"/>
      <c r="AC18" s="682"/>
      <c r="AD18" s="682"/>
      <c r="AE18" s="682"/>
      <c r="AF18" s="682">
        <v>1</v>
      </c>
      <c r="AG18" s="682"/>
      <c r="AH18" s="682">
        <v>3</v>
      </c>
      <c r="AI18" s="683"/>
      <c r="AJ18" s="682"/>
      <c r="AK18" s="682"/>
      <c r="AL18" s="831"/>
      <c r="AM18" s="845"/>
      <c r="AN18" s="846"/>
      <c r="AO18" s="852"/>
      <c r="AP18" s="852">
        <v>5</v>
      </c>
      <c r="AQ18" s="852"/>
      <c r="AR18" s="852"/>
      <c r="AS18" s="852"/>
      <c r="AT18" s="852"/>
      <c r="AU18" s="852"/>
      <c r="AV18" s="839">
        <f>SUM(D18:Q18)</f>
        <v>12</v>
      </c>
      <c r="AW18" s="534">
        <f>SUM(R18:AG18)</f>
        <v>12</v>
      </c>
      <c r="AX18" s="534">
        <f>SUM(S18:AV18)</f>
        <v>26</v>
      </c>
      <c r="AY18" s="534">
        <f>SUM(AH18:AP18)</f>
        <v>8</v>
      </c>
      <c r="AZ18" s="534">
        <f t="shared" si="1"/>
        <v>5</v>
      </c>
      <c r="BA18" s="197" t="str">
        <f t="shared" ca="1" si="0"/>
        <v>6nam,7thang,23ngay.</v>
      </c>
    </row>
    <row r="19" spans="1:53" s="197" customFormat="1" ht="18" customHeight="1" x14ac:dyDescent="0.25">
      <c r="A19" s="423">
        <f t="shared" si="2"/>
        <v>16</v>
      </c>
      <c r="B19" s="533" t="s">
        <v>70</v>
      </c>
      <c r="C19" s="607">
        <v>38838</v>
      </c>
      <c r="D19" s="602"/>
      <c r="E19" s="602"/>
      <c r="F19" s="602"/>
      <c r="G19" s="602"/>
      <c r="H19" s="602"/>
      <c r="I19" s="602"/>
      <c r="J19" s="602"/>
      <c r="K19" s="602"/>
      <c r="L19" s="602">
        <v>1</v>
      </c>
      <c r="M19" s="602"/>
      <c r="N19" s="602">
        <v>1</v>
      </c>
      <c r="O19" s="603"/>
      <c r="P19" s="535"/>
      <c r="Q19" s="535">
        <v>1</v>
      </c>
      <c r="R19" s="535"/>
      <c r="S19" s="535"/>
      <c r="T19" s="535">
        <v>1</v>
      </c>
      <c r="U19" s="535"/>
      <c r="V19" s="535">
        <v>1</v>
      </c>
      <c r="W19" s="580"/>
      <c r="X19" s="535"/>
      <c r="Y19" s="535"/>
      <c r="Z19" s="535"/>
      <c r="AA19" s="536">
        <v>1</v>
      </c>
      <c r="AB19" s="682"/>
      <c r="AC19" s="682"/>
      <c r="AD19" s="682">
        <v>2</v>
      </c>
      <c r="AE19" s="682">
        <v>1</v>
      </c>
      <c r="AF19" s="682"/>
      <c r="AG19" s="682"/>
      <c r="AH19" s="682"/>
      <c r="AI19" s="683"/>
      <c r="AJ19" s="682">
        <v>2</v>
      </c>
      <c r="AK19" s="682"/>
      <c r="AL19" s="831"/>
      <c r="AM19" s="845">
        <v>4</v>
      </c>
      <c r="AN19" s="846"/>
      <c r="AO19" s="852"/>
      <c r="AP19" s="852"/>
      <c r="AQ19" s="852"/>
      <c r="AR19" s="852">
        <v>8</v>
      </c>
      <c r="AS19" s="852"/>
      <c r="AT19" s="852"/>
      <c r="AU19" s="852">
        <v>1</v>
      </c>
      <c r="AV19" s="839">
        <f>SUM(D19:U19)</f>
        <v>4</v>
      </c>
      <c r="AW19" s="534">
        <f>SUM(V19:AG19)</f>
        <v>5</v>
      </c>
      <c r="AX19" s="534">
        <f>SUM(W19:AV19)</f>
        <v>23</v>
      </c>
      <c r="AY19" s="534">
        <f>SUM(AH19:AM19)</f>
        <v>6</v>
      </c>
      <c r="AZ19" s="534">
        <f t="shared" si="1"/>
        <v>9</v>
      </c>
      <c r="BA19" s="197" t="str">
        <f t="shared" ca="1" si="0"/>
        <v>13nam,5thang,8ngay.</v>
      </c>
    </row>
    <row r="20" spans="1:53" s="197" customFormat="1" ht="18" customHeight="1" x14ac:dyDescent="0.25">
      <c r="A20" s="423">
        <f t="shared" si="2"/>
        <v>17</v>
      </c>
      <c r="B20" s="533" t="s">
        <v>77</v>
      </c>
      <c r="C20" s="607">
        <v>41852</v>
      </c>
      <c r="D20" s="602"/>
      <c r="E20" s="602"/>
      <c r="F20" s="602"/>
      <c r="G20" s="602"/>
      <c r="H20" s="602">
        <v>1</v>
      </c>
      <c r="I20" s="602">
        <v>3</v>
      </c>
      <c r="J20" s="602"/>
      <c r="K20" s="602"/>
      <c r="L20" s="602"/>
      <c r="M20" s="602"/>
      <c r="N20" s="602"/>
      <c r="O20" s="603"/>
      <c r="P20" s="535"/>
      <c r="Q20" s="535"/>
      <c r="R20" s="535">
        <v>1</v>
      </c>
      <c r="S20" s="535"/>
      <c r="T20" s="535"/>
      <c r="U20" s="535"/>
      <c r="V20" s="535">
        <v>1</v>
      </c>
      <c r="W20" s="580">
        <v>3</v>
      </c>
      <c r="X20" s="535"/>
      <c r="Y20" s="535"/>
      <c r="Z20" s="535"/>
      <c r="AA20" s="536">
        <v>2</v>
      </c>
      <c r="AB20" s="682"/>
      <c r="AC20" s="682"/>
      <c r="AD20" s="682"/>
      <c r="AE20" s="682"/>
      <c r="AF20" s="682">
        <v>1</v>
      </c>
      <c r="AG20" s="682"/>
      <c r="AH20" s="682">
        <v>2</v>
      </c>
      <c r="AI20" s="683"/>
      <c r="AJ20" s="682">
        <v>4.5</v>
      </c>
      <c r="AK20" s="682">
        <v>3</v>
      </c>
      <c r="AL20" s="831"/>
      <c r="AM20" s="845"/>
      <c r="AN20" s="846"/>
      <c r="AO20" s="852"/>
      <c r="AP20" s="852">
        <v>1</v>
      </c>
      <c r="AQ20" s="852">
        <v>6</v>
      </c>
      <c r="AR20" s="852">
        <v>1</v>
      </c>
      <c r="AS20" s="852"/>
      <c r="AT20" s="852"/>
      <c r="AU20" s="852"/>
      <c r="AV20" s="839">
        <f>SUM(D20:U20)</f>
        <v>5</v>
      </c>
      <c r="AW20" s="534">
        <f t="shared" si="3"/>
        <v>7</v>
      </c>
      <c r="AX20" s="534">
        <f>SUM(W20:AV20)</f>
        <v>28.5</v>
      </c>
      <c r="AY20" s="534">
        <f>SUM(AH20:AM20)</f>
        <v>9.5</v>
      </c>
      <c r="AZ20" s="534">
        <f t="shared" si="1"/>
        <v>8</v>
      </c>
      <c r="BA20" s="197" t="str">
        <f t="shared" ca="1" si="0"/>
        <v>5nam,2thang,8ngay.</v>
      </c>
    </row>
    <row r="21" spans="1:53" s="197" customFormat="1" ht="18" customHeight="1" x14ac:dyDescent="0.25">
      <c r="A21" s="423">
        <f t="shared" si="2"/>
        <v>18</v>
      </c>
      <c r="B21" s="533" t="s">
        <v>89</v>
      </c>
      <c r="C21" s="607">
        <v>41640</v>
      </c>
      <c r="D21" s="602"/>
      <c r="E21" s="602"/>
      <c r="F21" s="602"/>
      <c r="G21" s="602"/>
      <c r="H21" s="602"/>
      <c r="I21" s="602"/>
      <c r="J21" s="602">
        <v>1</v>
      </c>
      <c r="K21" s="602"/>
      <c r="L21" s="602"/>
      <c r="M21" s="602">
        <v>1</v>
      </c>
      <c r="N21" s="602"/>
      <c r="O21" s="603">
        <v>1</v>
      </c>
      <c r="P21" s="535">
        <v>1</v>
      </c>
      <c r="Q21" s="535">
        <v>1</v>
      </c>
      <c r="R21" s="535"/>
      <c r="S21" s="535"/>
      <c r="T21" s="535">
        <v>1</v>
      </c>
      <c r="U21" s="535"/>
      <c r="V21" s="535">
        <v>3</v>
      </c>
      <c r="W21" s="580">
        <v>3</v>
      </c>
      <c r="X21" s="535"/>
      <c r="Y21" s="535"/>
      <c r="Z21" s="535"/>
      <c r="AA21" s="536">
        <v>3</v>
      </c>
      <c r="AB21" s="682">
        <v>1</v>
      </c>
      <c r="AC21" s="682"/>
      <c r="AD21" s="682"/>
      <c r="AE21" s="682"/>
      <c r="AF21" s="682"/>
      <c r="AG21" s="682"/>
      <c r="AH21" s="682"/>
      <c r="AI21" s="683"/>
      <c r="AJ21" s="682">
        <v>1</v>
      </c>
      <c r="AK21" s="682"/>
      <c r="AL21" s="831">
        <v>2</v>
      </c>
      <c r="AM21" s="845"/>
      <c r="AN21" s="846">
        <v>1</v>
      </c>
      <c r="AO21" s="852"/>
      <c r="AP21" s="852">
        <v>2</v>
      </c>
      <c r="AQ21" s="852"/>
      <c r="AR21" s="852"/>
      <c r="AS21" s="852">
        <v>1</v>
      </c>
      <c r="AT21" s="852"/>
      <c r="AU21" s="852">
        <v>2</v>
      </c>
      <c r="AV21" s="839">
        <f>SUM(D21:U21)</f>
        <v>6</v>
      </c>
      <c r="AW21" s="534">
        <f t="shared" si="3"/>
        <v>10</v>
      </c>
      <c r="AX21" s="534">
        <f>SUM(W21:AV21)</f>
        <v>22</v>
      </c>
      <c r="AY21" s="534">
        <f>SUM(AH21:AP21)</f>
        <v>6</v>
      </c>
      <c r="AZ21" s="534">
        <f t="shared" si="1"/>
        <v>6</v>
      </c>
      <c r="BA21" s="197" t="str">
        <f t="shared" ca="1" si="0"/>
        <v>5nam,9thang,8ngay.</v>
      </c>
    </row>
    <row r="22" spans="1:53" s="197" customFormat="1" ht="18" customHeight="1" x14ac:dyDescent="0.25">
      <c r="A22" s="423">
        <f t="shared" si="2"/>
        <v>19</v>
      </c>
      <c r="B22" s="533" t="s">
        <v>71</v>
      </c>
      <c r="C22" s="607">
        <v>41997</v>
      </c>
      <c r="D22" s="602"/>
      <c r="E22" s="602"/>
      <c r="F22" s="602"/>
      <c r="G22" s="602"/>
      <c r="H22" s="602"/>
      <c r="I22" s="602"/>
      <c r="J22" s="602">
        <v>1</v>
      </c>
      <c r="K22" s="602"/>
      <c r="L22" s="602">
        <v>1</v>
      </c>
      <c r="M22" s="602">
        <v>1</v>
      </c>
      <c r="N22" s="602"/>
      <c r="O22" s="603">
        <v>1</v>
      </c>
      <c r="P22" s="535"/>
      <c r="Q22" s="535">
        <v>2</v>
      </c>
      <c r="R22" s="535">
        <v>2</v>
      </c>
      <c r="S22" s="535">
        <v>1</v>
      </c>
      <c r="T22" s="535">
        <v>2</v>
      </c>
      <c r="U22" s="535"/>
      <c r="V22" s="535">
        <v>3</v>
      </c>
      <c r="W22" s="580">
        <v>2</v>
      </c>
      <c r="X22" s="535">
        <v>3</v>
      </c>
      <c r="Y22" s="535"/>
      <c r="Z22" s="535">
        <v>1</v>
      </c>
      <c r="AA22" s="536">
        <v>2</v>
      </c>
      <c r="AB22" s="682">
        <v>1</v>
      </c>
      <c r="AC22" s="682"/>
      <c r="AD22" s="682">
        <v>1</v>
      </c>
      <c r="AE22" s="682">
        <v>1</v>
      </c>
      <c r="AF22" s="682">
        <v>1</v>
      </c>
      <c r="AG22" s="682"/>
      <c r="AH22" s="682"/>
      <c r="AI22" s="683">
        <v>3</v>
      </c>
      <c r="AJ22" s="682"/>
      <c r="AK22" s="682"/>
      <c r="AL22" s="831">
        <v>1</v>
      </c>
      <c r="AM22" s="845">
        <v>1</v>
      </c>
      <c r="AN22" s="846"/>
      <c r="AO22" s="852"/>
      <c r="AP22" s="852">
        <v>3</v>
      </c>
      <c r="AQ22" s="852"/>
      <c r="AR22" s="852"/>
      <c r="AS22" s="852">
        <v>5</v>
      </c>
      <c r="AT22" s="852"/>
      <c r="AU22" s="852">
        <v>1</v>
      </c>
      <c r="AV22" s="839">
        <f>SUM(D22:U22)</f>
        <v>11</v>
      </c>
      <c r="AW22" s="630">
        <f>SUM(V22:AG22)</f>
        <v>15</v>
      </c>
      <c r="AX22" s="534">
        <f>SUM(W22:AV22)</f>
        <v>37</v>
      </c>
      <c r="AY22" s="534">
        <f>SUM(AC22:AP22)</f>
        <v>11</v>
      </c>
      <c r="AZ22" s="534">
        <f t="shared" si="1"/>
        <v>9</v>
      </c>
      <c r="BA22" s="197" t="str">
        <f t="shared" ca="1" si="0"/>
        <v>4nam,9thang,15ngay.</v>
      </c>
    </row>
    <row r="23" spans="1:53" s="197" customFormat="1" ht="18" customHeight="1" x14ac:dyDescent="0.25">
      <c r="A23" s="423">
        <f t="shared" si="2"/>
        <v>20</v>
      </c>
      <c r="B23" s="533" t="s">
        <v>87</v>
      </c>
      <c r="C23" s="607">
        <v>41786</v>
      </c>
      <c r="D23" s="602"/>
      <c r="E23" s="602"/>
      <c r="F23" s="602"/>
      <c r="G23" s="602"/>
      <c r="H23" s="602"/>
      <c r="I23" s="602"/>
      <c r="J23" s="602"/>
      <c r="K23" s="602"/>
      <c r="L23" s="602">
        <v>2</v>
      </c>
      <c r="M23" s="602"/>
      <c r="N23" s="602">
        <v>1</v>
      </c>
      <c r="O23" s="603">
        <v>1</v>
      </c>
      <c r="P23" s="535">
        <v>1</v>
      </c>
      <c r="Q23" s="535">
        <v>1</v>
      </c>
      <c r="R23" s="535">
        <v>6</v>
      </c>
      <c r="S23" s="535"/>
      <c r="T23" s="535">
        <v>2</v>
      </c>
      <c r="U23" s="535"/>
      <c r="V23" s="535"/>
      <c r="W23" s="580"/>
      <c r="X23" s="535"/>
      <c r="Y23" s="535"/>
      <c r="Z23" s="535"/>
      <c r="AA23" s="536"/>
      <c r="AB23" s="682"/>
      <c r="AC23" s="682"/>
      <c r="AD23" s="682"/>
      <c r="AE23" s="682">
        <v>2</v>
      </c>
      <c r="AF23" s="682"/>
      <c r="AG23" s="682">
        <v>1</v>
      </c>
      <c r="AH23" s="682"/>
      <c r="AI23" s="683">
        <v>1</v>
      </c>
      <c r="AJ23" s="682"/>
      <c r="AK23" s="682"/>
      <c r="AL23" s="831"/>
      <c r="AM23" s="845"/>
      <c r="AN23" s="846"/>
      <c r="AO23" s="852"/>
      <c r="AP23" s="852"/>
      <c r="AQ23" s="852">
        <v>3</v>
      </c>
      <c r="AR23" s="852"/>
      <c r="AS23" s="852"/>
      <c r="AT23" s="852"/>
      <c r="AU23" s="852">
        <v>2</v>
      </c>
      <c r="AV23" s="839">
        <f>SUM(D23:S23)</f>
        <v>12</v>
      </c>
      <c r="AW23" s="534">
        <f>SUM(T23:AG23)</f>
        <v>5</v>
      </c>
      <c r="AX23" s="534">
        <f>SUM(U23:AV23)</f>
        <v>21</v>
      </c>
      <c r="AY23" s="534">
        <f>SUM(AH23:AQ23)</f>
        <v>4</v>
      </c>
      <c r="AZ23" s="534">
        <f t="shared" si="1"/>
        <v>5</v>
      </c>
      <c r="BA23" s="197" t="str">
        <f t="shared" ca="1" si="0"/>
        <v>5nam,4thang,12ngay.</v>
      </c>
    </row>
    <row r="24" spans="1:53" s="197" customFormat="1" ht="18" customHeight="1" x14ac:dyDescent="0.25">
      <c r="A24" s="423">
        <f t="shared" si="2"/>
        <v>21</v>
      </c>
      <c r="B24" s="533" t="s">
        <v>88</v>
      </c>
      <c r="C24" s="607">
        <v>41876</v>
      </c>
      <c r="D24" s="602"/>
      <c r="E24" s="602"/>
      <c r="F24" s="602"/>
      <c r="G24" s="602"/>
      <c r="H24" s="602"/>
      <c r="I24" s="602"/>
      <c r="J24" s="602">
        <v>1</v>
      </c>
      <c r="K24" s="602"/>
      <c r="L24" s="602"/>
      <c r="M24" s="602"/>
      <c r="N24" s="602">
        <v>1</v>
      </c>
      <c r="O24" s="603">
        <v>1</v>
      </c>
      <c r="P24" s="535">
        <v>2</v>
      </c>
      <c r="Q24" s="535">
        <v>1</v>
      </c>
      <c r="R24" s="535">
        <v>1</v>
      </c>
      <c r="S24" s="535">
        <v>1</v>
      </c>
      <c r="T24" s="535">
        <v>1</v>
      </c>
      <c r="U24" s="535">
        <v>1</v>
      </c>
      <c r="V24" s="535">
        <v>2</v>
      </c>
      <c r="W24" s="580">
        <v>1</v>
      </c>
      <c r="X24" s="535">
        <v>1</v>
      </c>
      <c r="Y24" s="535"/>
      <c r="Z24" s="535"/>
      <c r="AA24" s="536"/>
      <c r="AB24" s="682"/>
      <c r="AC24" s="682"/>
      <c r="AD24" s="682"/>
      <c r="AE24" s="682">
        <v>1</v>
      </c>
      <c r="AF24" s="682">
        <v>1</v>
      </c>
      <c r="AG24" s="682"/>
      <c r="AH24" s="682"/>
      <c r="AI24" s="683"/>
      <c r="AJ24" s="682"/>
      <c r="AK24" s="682"/>
      <c r="AL24" s="831"/>
      <c r="AM24" s="845"/>
      <c r="AN24" s="846"/>
      <c r="AO24" s="852">
        <v>3</v>
      </c>
      <c r="AP24" s="852"/>
      <c r="AQ24" s="852"/>
      <c r="AR24" s="852">
        <v>1</v>
      </c>
      <c r="AS24" s="852">
        <v>1</v>
      </c>
      <c r="AT24" s="852">
        <v>3</v>
      </c>
      <c r="AU24" s="852">
        <v>1</v>
      </c>
      <c r="AV24" s="839">
        <f>SUM(D24:U24)</f>
        <v>10</v>
      </c>
      <c r="AW24" s="534">
        <f>SUM(V24:AG24)</f>
        <v>6</v>
      </c>
      <c r="AX24" s="534">
        <f>SUM(W24:AV24)</f>
        <v>23</v>
      </c>
      <c r="AY24" s="534">
        <f>SUM(AH24:AP24)</f>
        <v>3</v>
      </c>
      <c r="AZ24" s="534">
        <f t="shared" si="1"/>
        <v>9</v>
      </c>
      <c r="BA24" s="197" t="str">
        <f t="shared" ca="1" si="0"/>
        <v>5nam,1thang,14ngay.</v>
      </c>
    </row>
    <row r="25" spans="1:53" s="631" customFormat="1" ht="18" customHeight="1" x14ac:dyDescent="0.25">
      <c r="A25" s="423">
        <f t="shared" si="2"/>
        <v>22</v>
      </c>
      <c r="B25" s="628" t="s">
        <v>81</v>
      </c>
      <c r="C25" s="629">
        <v>42201</v>
      </c>
      <c r="D25" s="535"/>
      <c r="E25" s="535"/>
      <c r="F25" s="535"/>
      <c r="G25" s="535"/>
      <c r="H25" s="535"/>
      <c r="I25" s="535"/>
      <c r="J25" s="535"/>
      <c r="K25" s="535"/>
      <c r="L25" s="535">
        <v>1</v>
      </c>
      <c r="M25" s="535">
        <v>1</v>
      </c>
      <c r="N25" s="535">
        <v>2</v>
      </c>
      <c r="O25" s="536">
        <v>2</v>
      </c>
      <c r="P25" s="535">
        <v>2</v>
      </c>
      <c r="Q25" s="535">
        <v>1</v>
      </c>
      <c r="R25" s="535">
        <v>2</v>
      </c>
      <c r="S25" s="535">
        <v>1</v>
      </c>
      <c r="T25" s="535">
        <v>3</v>
      </c>
      <c r="U25" s="535">
        <v>3</v>
      </c>
      <c r="V25" s="535">
        <v>3</v>
      </c>
      <c r="W25" s="580">
        <v>3</v>
      </c>
      <c r="X25" s="535"/>
      <c r="Y25" s="535"/>
      <c r="Z25" s="535"/>
      <c r="AA25" s="536"/>
      <c r="AB25" s="682"/>
      <c r="AC25" s="682"/>
      <c r="AD25" s="682"/>
      <c r="AE25" s="682"/>
      <c r="AF25" s="682">
        <v>2</v>
      </c>
      <c r="AG25" s="682"/>
      <c r="AH25" s="682"/>
      <c r="AI25" s="683">
        <v>1</v>
      </c>
      <c r="AJ25" s="682">
        <v>1</v>
      </c>
      <c r="AK25" s="682"/>
      <c r="AL25" s="831"/>
      <c r="AM25" s="845">
        <v>3</v>
      </c>
      <c r="AN25" s="846"/>
      <c r="AO25" s="852"/>
      <c r="AP25" s="852"/>
      <c r="AQ25" s="852"/>
      <c r="AR25" s="852"/>
      <c r="AS25" s="852"/>
      <c r="AT25" s="852"/>
      <c r="AU25" s="852">
        <v>1</v>
      </c>
      <c r="AV25" s="840">
        <f>SUM(D25:S25)</f>
        <v>12</v>
      </c>
      <c r="AW25" s="534">
        <f>SUM(T25:AE25)</f>
        <v>12</v>
      </c>
      <c r="AX25" s="630">
        <f>SUM(U25:AV25)</f>
        <v>29</v>
      </c>
      <c r="AY25" s="630">
        <f>SUM(AF25:AM25)</f>
        <v>7</v>
      </c>
      <c r="AZ25" s="534">
        <f t="shared" si="1"/>
        <v>1</v>
      </c>
      <c r="BA25" s="631" t="str">
        <f t="shared" ca="1" si="0"/>
        <v>4nam,2thang,23ngay.</v>
      </c>
    </row>
    <row r="26" spans="1:53" s="197" customFormat="1" ht="18" customHeight="1" x14ac:dyDescent="0.25">
      <c r="A26" s="423">
        <f t="shared" si="2"/>
        <v>23</v>
      </c>
      <c r="B26" s="533" t="s">
        <v>571</v>
      </c>
      <c r="C26" s="607">
        <v>42371</v>
      </c>
      <c r="D26" s="602"/>
      <c r="E26" s="602"/>
      <c r="F26" s="602"/>
      <c r="G26" s="602"/>
      <c r="H26" s="602"/>
      <c r="I26" s="602"/>
      <c r="J26" s="602"/>
      <c r="K26" s="602"/>
      <c r="L26" s="602"/>
      <c r="M26" s="602"/>
      <c r="N26" s="602"/>
      <c r="O26" s="603"/>
      <c r="P26" s="535">
        <v>1</v>
      </c>
      <c r="Q26" s="535"/>
      <c r="R26" s="535"/>
      <c r="S26" s="535"/>
      <c r="T26" s="535"/>
      <c r="U26" s="535"/>
      <c r="V26" s="535"/>
      <c r="W26" s="580"/>
      <c r="X26" s="535"/>
      <c r="Y26" s="535"/>
      <c r="Z26" s="535"/>
      <c r="AA26" s="536"/>
      <c r="AB26" s="682"/>
      <c r="AC26" s="682"/>
      <c r="AD26" s="682"/>
      <c r="AE26" s="682"/>
      <c r="AF26" s="682"/>
      <c r="AG26" s="682"/>
      <c r="AH26" s="682"/>
      <c r="AI26" s="683"/>
      <c r="AJ26" s="682"/>
      <c r="AK26" s="682"/>
      <c r="AL26" s="831"/>
      <c r="AM26" s="845"/>
      <c r="AN26" s="846"/>
      <c r="AO26" s="852"/>
      <c r="AP26" s="852"/>
      <c r="AQ26" s="852"/>
      <c r="AR26" s="852"/>
      <c r="AS26" s="852"/>
      <c r="AT26" s="852"/>
      <c r="AU26" s="852"/>
      <c r="AV26" s="839">
        <f>SUM(D26:U26)</f>
        <v>1</v>
      </c>
      <c r="AW26" s="534">
        <f t="shared" si="3"/>
        <v>0</v>
      </c>
      <c r="AX26" s="534">
        <f>SUM(W26:AV26)</f>
        <v>1</v>
      </c>
      <c r="AY26" s="534"/>
      <c r="AZ26" s="534">
        <f t="shared" si="1"/>
        <v>0</v>
      </c>
      <c r="BA26" s="197" t="str">
        <f t="shared" ca="1" si="0"/>
        <v>3nam,9thang,7ngay.</v>
      </c>
    </row>
    <row r="27" spans="1:53" s="197" customFormat="1" ht="18" customHeight="1" x14ac:dyDescent="0.25">
      <c r="A27" s="423">
        <f t="shared" si="2"/>
        <v>24</v>
      </c>
      <c r="B27" s="533" t="s">
        <v>83</v>
      </c>
      <c r="C27" s="607">
        <v>40462</v>
      </c>
      <c r="D27" s="602"/>
      <c r="E27" s="602"/>
      <c r="F27" s="602"/>
      <c r="G27" s="602"/>
      <c r="H27" s="602"/>
      <c r="I27" s="602"/>
      <c r="J27" s="602"/>
      <c r="K27" s="602"/>
      <c r="L27" s="602">
        <v>1</v>
      </c>
      <c r="M27" s="602">
        <v>1</v>
      </c>
      <c r="N27" s="602">
        <v>2</v>
      </c>
      <c r="O27" s="603">
        <v>3</v>
      </c>
      <c r="P27" s="535">
        <v>5</v>
      </c>
      <c r="Q27" s="535">
        <v>1</v>
      </c>
      <c r="R27" s="535">
        <v>1</v>
      </c>
      <c r="S27" s="535"/>
      <c r="T27" s="535">
        <v>2</v>
      </c>
      <c r="U27" s="535">
        <v>2</v>
      </c>
      <c r="V27" s="535"/>
      <c r="W27" s="580">
        <v>1</v>
      </c>
      <c r="X27" s="535"/>
      <c r="Y27" s="535"/>
      <c r="Z27" s="535">
        <v>1</v>
      </c>
      <c r="AA27" s="536">
        <v>2</v>
      </c>
      <c r="AB27" s="682">
        <v>1</v>
      </c>
      <c r="AC27" s="682"/>
      <c r="AD27" s="682"/>
      <c r="AE27" s="682">
        <v>3</v>
      </c>
      <c r="AF27" s="682">
        <v>3</v>
      </c>
      <c r="AG27" s="682">
        <v>1</v>
      </c>
      <c r="AH27" s="682">
        <v>1</v>
      </c>
      <c r="AI27" s="683"/>
      <c r="AJ27" s="682"/>
      <c r="AK27" s="682">
        <v>1</v>
      </c>
      <c r="AL27" s="831"/>
      <c r="AM27" s="845">
        <v>3</v>
      </c>
      <c r="AN27" s="846"/>
      <c r="AO27" s="852">
        <v>3</v>
      </c>
      <c r="AP27" s="852">
        <v>1</v>
      </c>
      <c r="AQ27" s="852">
        <v>2</v>
      </c>
      <c r="AR27" s="852"/>
      <c r="AS27" s="852"/>
      <c r="AT27" s="852">
        <v>1</v>
      </c>
      <c r="AU27" s="852">
        <v>1</v>
      </c>
      <c r="AV27" s="839">
        <f>SUM(D27:Q27)</f>
        <v>13</v>
      </c>
      <c r="AW27" s="534">
        <f>SUM(R27:AE27)</f>
        <v>13</v>
      </c>
      <c r="AX27" s="534">
        <f>SUM(S27:AV27)</f>
        <v>42</v>
      </c>
      <c r="AY27" s="534">
        <f>SUM(AF27:AO27)</f>
        <v>12</v>
      </c>
      <c r="AZ27" s="534">
        <f t="shared" si="1"/>
        <v>8</v>
      </c>
      <c r="BA27" s="197" t="str">
        <f t="shared" ca="1" si="0"/>
        <v>8nam,11thang,28ngay.</v>
      </c>
    </row>
    <row r="28" spans="1:53" s="631" customFormat="1" ht="18" customHeight="1" x14ac:dyDescent="0.25">
      <c r="A28" s="423">
        <f t="shared" si="2"/>
        <v>25</v>
      </c>
      <c r="B28" s="628" t="s">
        <v>84</v>
      </c>
      <c r="C28" s="629">
        <v>40596</v>
      </c>
      <c r="D28" s="535"/>
      <c r="E28" s="535"/>
      <c r="F28" s="535"/>
      <c r="G28" s="535"/>
      <c r="H28" s="535"/>
      <c r="I28" s="535">
        <v>10</v>
      </c>
      <c r="J28" s="535"/>
      <c r="K28" s="535"/>
      <c r="L28" s="535"/>
      <c r="M28" s="535">
        <v>1</v>
      </c>
      <c r="N28" s="535">
        <v>1</v>
      </c>
      <c r="O28" s="536"/>
      <c r="P28" s="535">
        <v>1</v>
      </c>
      <c r="Q28" s="535">
        <v>1</v>
      </c>
      <c r="R28" s="535">
        <v>9</v>
      </c>
      <c r="S28" s="535">
        <v>2</v>
      </c>
      <c r="T28" s="535">
        <v>1</v>
      </c>
      <c r="U28" s="535">
        <v>1</v>
      </c>
      <c r="V28" s="535">
        <v>1</v>
      </c>
      <c r="W28" s="580">
        <v>1</v>
      </c>
      <c r="X28" s="535"/>
      <c r="Y28" s="535"/>
      <c r="Z28" s="535"/>
      <c r="AA28" s="536"/>
      <c r="AB28" s="682">
        <v>2</v>
      </c>
      <c r="AC28" s="682"/>
      <c r="AD28" s="682"/>
      <c r="AE28" s="682"/>
      <c r="AF28" s="682"/>
      <c r="AG28" s="682">
        <v>7</v>
      </c>
      <c r="AH28" s="682"/>
      <c r="AI28" s="683"/>
      <c r="AJ28" s="682">
        <v>1</v>
      </c>
      <c r="AK28" s="682"/>
      <c r="AL28" s="831"/>
      <c r="AM28" s="845"/>
      <c r="AN28" s="846"/>
      <c r="AO28" s="852"/>
      <c r="AP28" s="852"/>
      <c r="AQ28" s="852">
        <v>3</v>
      </c>
      <c r="AR28" s="852">
        <v>3</v>
      </c>
      <c r="AS28" s="852"/>
      <c r="AT28" s="852"/>
      <c r="AU28" s="852">
        <v>1</v>
      </c>
      <c r="AV28" s="840">
        <f>SUM(D28:Q28)</f>
        <v>14</v>
      </c>
      <c r="AW28" s="534">
        <f>SUM(R28:AA28)</f>
        <v>15</v>
      </c>
      <c r="AX28" s="630">
        <f>SUM(S28:AV28)</f>
        <v>37</v>
      </c>
      <c r="AY28" s="630">
        <f>SUM(AB28:AQ28)</f>
        <v>13</v>
      </c>
      <c r="AZ28" s="534">
        <f t="shared" si="1"/>
        <v>7</v>
      </c>
      <c r="BA28" s="631" t="str">
        <f t="shared" ca="1" si="0"/>
        <v>8nam,7thang,17ngay.</v>
      </c>
    </row>
    <row r="29" spans="1:53" s="197" customFormat="1" ht="18" customHeight="1" x14ac:dyDescent="0.25">
      <c r="A29" s="423">
        <f t="shared" si="2"/>
        <v>26</v>
      </c>
      <c r="B29" s="533" t="s">
        <v>85</v>
      </c>
      <c r="C29" s="607">
        <v>41682</v>
      </c>
      <c r="D29" s="602"/>
      <c r="E29" s="602"/>
      <c r="F29" s="602"/>
      <c r="G29" s="602"/>
      <c r="H29" s="602"/>
      <c r="I29" s="602"/>
      <c r="J29" s="602"/>
      <c r="K29" s="602"/>
      <c r="L29" s="602">
        <v>1</v>
      </c>
      <c r="M29" s="602"/>
      <c r="N29" s="602"/>
      <c r="O29" s="603">
        <v>4</v>
      </c>
      <c r="P29" s="535">
        <v>1</v>
      </c>
      <c r="Q29" s="535"/>
      <c r="R29" s="535"/>
      <c r="S29" s="535"/>
      <c r="T29" s="535">
        <v>6</v>
      </c>
      <c r="U29" s="535"/>
      <c r="V29" s="535"/>
      <c r="W29" s="580"/>
      <c r="X29" s="535">
        <v>3</v>
      </c>
      <c r="Y29" s="535">
        <v>3</v>
      </c>
      <c r="Z29" s="535"/>
      <c r="AA29" s="536"/>
      <c r="AB29" s="682"/>
      <c r="AC29" s="682"/>
      <c r="AD29" s="682">
        <v>2</v>
      </c>
      <c r="AE29" s="682"/>
      <c r="AF29" s="682">
        <v>2</v>
      </c>
      <c r="AG29" s="682"/>
      <c r="AH29" s="682"/>
      <c r="AI29" s="683"/>
      <c r="AJ29" s="682"/>
      <c r="AK29" s="682"/>
      <c r="AL29" s="831"/>
      <c r="AM29" s="845">
        <v>1</v>
      </c>
      <c r="AN29" s="846"/>
      <c r="AO29" s="852">
        <v>1</v>
      </c>
      <c r="AP29" s="852">
        <v>7</v>
      </c>
      <c r="AQ29" s="852"/>
      <c r="AR29" s="852"/>
      <c r="AS29" s="852"/>
      <c r="AT29" s="852"/>
      <c r="AU29" s="852"/>
      <c r="AV29" s="839">
        <f>SUM(D29:U29)</f>
        <v>12</v>
      </c>
      <c r="AW29" s="534">
        <f t="shared" si="3"/>
        <v>10</v>
      </c>
      <c r="AX29" s="534">
        <f>SUM(W29:AV29)</f>
        <v>31</v>
      </c>
      <c r="AY29" s="857">
        <f>SUM(AB29:AP29)</f>
        <v>13</v>
      </c>
      <c r="AZ29" s="534">
        <f t="shared" si="1"/>
        <v>8</v>
      </c>
      <c r="BA29" s="197" t="str">
        <f t="shared" ca="1" si="0"/>
        <v>5nam,7thang,27ngay.</v>
      </c>
    </row>
    <row r="30" spans="1:53" s="631" customFormat="1" ht="18" customHeight="1" x14ac:dyDescent="0.25">
      <c r="A30" s="423">
        <f t="shared" si="2"/>
        <v>27</v>
      </c>
      <c r="B30" s="628" t="s">
        <v>239</v>
      </c>
      <c r="C30" s="629">
        <v>41706</v>
      </c>
      <c r="D30" s="535"/>
      <c r="E30" s="535"/>
      <c r="F30" s="535"/>
      <c r="G30" s="535">
        <v>3</v>
      </c>
      <c r="H30" s="535"/>
      <c r="I30" s="535">
        <v>3</v>
      </c>
      <c r="J30" s="535"/>
      <c r="K30" s="535"/>
      <c r="L30" s="535">
        <v>2</v>
      </c>
      <c r="M30" s="535"/>
      <c r="N30" s="535"/>
      <c r="O30" s="536"/>
      <c r="P30" s="535">
        <v>4</v>
      </c>
      <c r="Q30" s="535"/>
      <c r="R30" s="535"/>
      <c r="S30" s="535"/>
      <c r="T30" s="535">
        <v>3</v>
      </c>
      <c r="U30" s="535">
        <v>3</v>
      </c>
      <c r="V30" s="535">
        <v>1</v>
      </c>
      <c r="W30" s="580">
        <v>3</v>
      </c>
      <c r="X30" s="535">
        <v>2</v>
      </c>
      <c r="Y30" s="535"/>
      <c r="Z30" s="535"/>
      <c r="AA30" s="536"/>
      <c r="AB30" s="682">
        <v>3</v>
      </c>
      <c r="AC30" s="682">
        <v>3</v>
      </c>
      <c r="AD30" s="682"/>
      <c r="AE30" s="682">
        <v>1</v>
      </c>
      <c r="AF30" s="682"/>
      <c r="AG30" s="682">
        <v>1</v>
      </c>
      <c r="AH30" s="682">
        <v>4</v>
      </c>
      <c r="AI30" s="683"/>
      <c r="AJ30" s="682"/>
      <c r="AK30" s="682"/>
      <c r="AL30" s="831"/>
      <c r="AM30" s="845"/>
      <c r="AN30" s="846"/>
      <c r="AO30" s="852"/>
      <c r="AP30" s="852"/>
      <c r="AQ30" s="852"/>
      <c r="AR30" s="852">
        <v>5</v>
      </c>
      <c r="AS30" s="852">
        <v>2</v>
      </c>
      <c r="AT30" s="852"/>
      <c r="AU30" s="852"/>
      <c r="AV30" s="840">
        <f>SUM(D30:S30)</f>
        <v>12</v>
      </c>
      <c r="AW30" s="534">
        <f>SUM(T30:AA30)</f>
        <v>12</v>
      </c>
      <c r="AX30" s="630">
        <f>SUM(U30:AV30)</f>
        <v>40</v>
      </c>
      <c r="AY30" s="630">
        <f>SUM(AB30:AM30)</f>
        <v>12</v>
      </c>
      <c r="AZ30" s="534">
        <f t="shared" si="1"/>
        <v>7</v>
      </c>
      <c r="BA30" s="631" t="str">
        <f t="shared" ca="1" si="0"/>
        <v>5nam,7thang,1ngay.</v>
      </c>
    </row>
    <row r="31" spans="1:53" s="197" customFormat="1" ht="18" customHeight="1" x14ac:dyDescent="0.25">
      <c r="A31" s="423">
        <f t="shared" si="2"/>
        <v>28</v>
      </c>
      <c r="B31" s="533" t="s">
        <v>86</v>
      </c>
      <c r="C31" s="607">
        <v>41786</v>
      </c>
      <c r="D31" s="602"/>
      <c r="E31" s="602"/>
      <c r="F31" s="602"/>
      <c r="G31" s="602"/>
      <c r="H31" s="602"/>
      <c r="I31" s="602"/>
      <c r="J31" s="602"/>
      <c r="K31" s="602"/>
      <c r="L31" s="602">
        <v>2</v>
      </c>
      <c r="M31" s="602">
        <v>1</v>
      </c>
      <c r="N31" s="602">
        <v>1</v>
      </c>
      <c r="O31" s="603"/>
      <c r="P31" s="535"/>
      <c r="Q31" s="535"/>
      <c r="R31" s="535"/>
      <c r="S31" s="535"/>
      <c r="T31" s="535"/>
      <c r="U31" s="535"/>
      <c r="V31" s="535">
        <v>1</v>
      </c>
      <c r="W31" s="580"/>
      <c r="X31" s="535">
        <v>1</v>
      </c>
      <c r="Y31" s="535"/>
      <c r="Z31" s="535"/>
      <c r="AA31" s="536">
        <v>1</v>
      </c>
      <c r="AB31" s="682">
        <v>1</v>
      </c>
      <c r="AC31" s="682">
        <v>2</v>
      </c>
      <c r="AD31" s="682">
        <v>1</v>
      </c>
      <c r="AE31" s="682"/>
      <c r="AF31" s="682">
        <v>2</v>
      </c>
      <c r="AG31" s="682">
        <v>2</v>
      </c>
      <c r="AH31" s="682"/>
      <c r="AI31" s="683">
        <v>1</v>
      </c>
      <c r="AJ31" s="682"/>
      <c r="AK31" s="682"/>
      <c r="AL31" s="831"/>
      <c r="AM31" s="845"/>
      <c r="AN31" s="846"/>
      <c r="AO31" s="852"/>
      <c r="AP31" s="852"/>
      <c r="AQ31" s="852"/>
      <c r="AR31" s="852"/>
      <c r="AS31" s="852"/>
      <c r="AT31" s="852">
        <v>1.5</v>
      </c>
      <c r="AU31" s="852">
        <v>2</v>
      </c>
      <c r="AV31" s="839">
        <f>SUM(D31:U31)</f>
        <v>4</v>
      </c>
      <c r="AW31" s="534">
        <f>SUM(V31:AG31)</f>
        <v>11</v>
      </c>
      <c r="AX31" s="534">
        <f>SUM(W31:AV31)</f>
        <v>18.5</v>
      </c>
      <c r="AY31" s="534">
        <f>SUM(AH31:AM31)</f>
        <v>1</v>
      </c>
      <c r="AZ31" s="534">
        <f t="shared" si="1"/>
        <v>3.5</v>
      </c>
      <c r="BA31" s="197" t="str">
        <f t="shared" ca="1" si="0"/>
        <v>5nam,4thang,12ngay.</v>
      </c>
    </row>
    <row r="32" spans="1:53" s="197" customFormat="1" ht="18" customHeight="1" x14ac:dyDescent="0.25">
      <c r="A32" s="423">
        <f t="shared" si="2"/>
        <v>29</v>
      </c>
      <c r="B32" s="533" t="s">
        <v>90</v>
      </c>
      <c r="C32" s="607">
        <v>41956</v>
      </c>
      <c r="D32" s="602"/>
      <c r="E32" s="602"/>
      <c r="F32" s="602"/>
      <c r="G32" s="602"/>
      <c r="H32" s="602"/>
      <c r="I32" s="602"/>
      <c r="J32" s="602"/>
      <c r="K32" s="602"/>
      <c r="L32" s="602">
        <v>1</v>
      </c>
      <c r="M32" s="602"/>
      <c r="N32" s="602">
        <v>2</v>
      </c>
      <c r="O32" s="603">
        <v>1</v>
      </c>
      <c r="P32" s="535"/>
      <c r="Q32" s="535">
        <v>1</v>
      </c>
      <c r="R32" s="535"/>
      <c r="S32" s="535">
        <v>2</v>
      </c>
      <c r="T32" s="535">
        <v>5</v>
      </c>
      <c r="U32" s="535">
        <v>1</v>
      </c>
      <c r="V32" s="535"/>
      <c r="W32" s="580"/>
      <c r="X32" s="535"/>
      <c r="Y32" s="535"/>
      <c r="Z32" s="535">
        <v>1</v>
      </c>
      <c r="AA32" s="536"/>
      <c r="AB32" s="682"/>
      <c r="AC32" s="682"/>
      <c r="AD32" s="682"/>
      <c r="AE32" s="682">
        <v>1</v>
      </c>
      <c r="AF32" s="682">
        <v>1</v>
      </c>
      <c r="AG32" s="682"/>
      <c r="AH32" s="682"/>
      <c r="AI32" s="683"/>
      <c r="AJ32" s="682"/>
      <c r="AK32" s="682">
        <v>1</v>
      </c>
      <c r="AL32" s="831"/>
      <c r="AM32" s="845"/>
      <c r="AN32" s="846"/>
      <c r="AO32" s="852"/>
      <c r="AP32" s="852"/>
      <c r="AQ32" s="852"/>
      <c r="AR32" s="852"/>
      <c r="AS32" s="852">
        <v>4</v>
      </c>
      <c r="AT32" s="852">
        <v>3</v>
      </c>
      <c r="AU32" s="852"/>
      <c r="AV32" s="839">
        <f>SUM(D32:T32)</f>
        <v>12</v>
      </c>
      <c r="AW32" s="534">
        <f t="shared" si="3"/>
        <v>3</v>
      </c>
      <c r="AX32" s="534">
        <f>SUM(V32:AV32)</f>
        <v>23</v>
      </c>
      <c r="AY32" s="534">
        <f>SUM(AH32:AM32)</f>
        <v>1</v>
      </c>
      <c r="AZ32" s="534">
        <f t="shared" si="1"/>
        <v>7</v>
      </c>
      <c r="BA32" s="197" t="str">
        <f t="shared" ca="1" si="0"/>
        <v>4nam,10thang,26ngay.</v>
      </c>
    </row>
    <row r="33" spans="1:53" s="197" customFormat="1" ht="18" customHeight="1" x14ac:dyDescent="0.25">
      <c r="A33" s="423">
        <f t="shared" si="2"/>
        <v>30</v>
      </c>
      <c r="B33" s="533" t="s">
        <v>91</v>
      </c>
      <c r="C33" s="607">
        <v>41967</v>
      </c>
      <c r="D33" s="602"/>
      <c r="E33" s="602"/>
      <c r="F33" s="602"/>
      <c r="G33" s="602"/>
      <c r="H33" s="602"/>
      <c r="I33" s="602"/>
      <c r="J33" s="602"/>
      <c r="K33" s="602"/>
      <c r="L33" s="602"/>
      <c r="M33" s="602">
        <v>3</v>
      </c>
      <c r="N33" s="602"/>
      <c r="O33" s="603">
        <v>1</v>
      </c>
      <c r="P33" s="535">
        <v>1</v>
      </c>
      <c r="Q33" s="535">
        <v>2</v>
      </c>
      <c r="R33" s="535"/>
      <c r="S33" s="535"/>
      <c r="T33" s="535"/>
      <c r="U33" s="535">
        <v>2</v>
      </c>
      <c r="V33" s="535"/>
      <c r="W33" s="580"/>
      <c r="X33" s="535">
        <v>2</v>
      </c>
      <c r="Y33" s="535"/>
      <c r="Z33" s="535"/>
      <c r="AA33" s="536">
        <v>1</v>
      </c>
      <c r="AB33" s="682"/>
      <c r="AC33" s="682"/>
      <c r="AD33" s="682"/>
      <c r="AE33" s="682"/>
      <c r="AF33" s="682"/>
      <c r="AG33" s="682">
        <v>1</v>
      </c>
      <c r="AH33" s="682"/>
      <c r="AI33" s="683">
        <v>1</v>
      </c>
      <c r="AJ33" s="682">
        <v>1</v>
      </c>
      <c r="AK33" s="682">
        <v>1</v>
      </c>
      <c r="AL33" s="831"/>
      <c r="AM33" s="845"/>
      <c r="AN33" s="846"/>
      <c r="AO33" s="852"/>
      <c r="AP33" s="852"/>
      <c r="AQ33" s="852">
        <v>1</v>
      </c>
      <c r="AR33" s="852"/>
      <c r="AS33" s="852">
        <v>1</v>
      </c>
      <c r="AT33" s="852">
        <v>1</v>
      </c>
      <c r="AU33" s="852">
        <v>2</v>
      </c>
      <c r="AV33" s="839">
        <f>SUM(D33:U33)</f>
        <v>9</v>
      </c>
      <c r="AW33" s="534">
        <f t="shared" si="3"/>
        <v>4</v>
      </c>
      <c r="AX33" s="534">
        <f>SUM(W33:AV33)</f>
        <v>21</v>
      </c>
      <c r="AY33" s="534">
        <f>SUM(AH33:AR33)</f>
        <v>4</v>
      </c>
      <c r="AZ33" s="534">
        <f t="shared" si="1"/>
        <v>5</v>
      </c>
      <c r="BA33" s="197" t="str">
        <f t="shared" ca="1" si="0"/>
        <v>4nam,10thang,15ngay.</v>
      </c>
    </row>
    <row r="34" spans="1:53" s="631" customFormat="1" ht="18" customHeight="1" x14ac:dyDescent="0.25">
      <c r="A34" s="423">
        <f t="shared" si="2"/>
        <v>31</v>
      </c>
      <c r="B34" s="628" t="s">
        <v>240</v>
      </c>
      <c r="C34" s="629">
        <v>42065</v>
      </c>
      <c r="D34" s="535"/>
      <c r="E34" s="535"/>
      <c r="F34" s="535"/>
      <c r="G34" s="535"/>
      <c r="H34" s="535"/>
      <c r="I34" s="535"/>
      <c r="J34" s="535"/>
      <c r="K34" s="535"/>
      <c r="L34" s="535">
        <v>1</v>
      </c>
      <c r="M34" s="535">
        <v>4</v>
      </c>
      <c r="N34" s="535">
        <v>1</v>
      </c>
      <c r="O34" s="536">
        <v>2</v>
      </c>
      <c r="P34" s="535">
        <v>2</v>
      </c>
      <c r="Q34" s="535">
        <v>2</v>
      </c>
      <c r="R34" s="535">
        <v>3</v>
      </c>
      <c r="S34" s="535">
        <v>1</v>
      </c>
      <c r="T34" s="535">
        <v>3</v>
      </c>
      <c r="U34" s="535">
        <v>3</v>
      </c>
      <c r="V34" s="535">
        <v>1</v>
      </c>
      <c r="W34" s="580">
        <v>1</v>
      </c>
      <c r="X34" s="535"/>
      <c r="Y34" s="535"/>
      <c r="Z34" s="535"/>
      <c r="AA34" s="536"/>
      <c r="AB34" s="682"/>
      <c r="AC34" s="682"/>
      <c r="AD34" s="682">
        <v>4</v>
      </c>
      <c r="AE34" s="682"/>
      <c r="AF34" s="682"/>
      <c r="AG34" s="682">
        <v>1</v>
      </c>
      <c r="AH34" s="682"/>
      <c r="AI34" s="683"/>
      <c r="AJ34" s="682">
        <v>1</v>
      </c>
      <c r="AK34" s="682">
        <v>3</v>
      </c>
      <c r="AL34" s="831"/>
      <c r="AM34" s="845"/>
      <c r="AN34" s="846"/>
      <c r="AO34" s="852"/>
      <c r="AP34" s="852">
        <v>3</v>
      </c>
      <c r="AQ34" s="852"/>
      <c r="AR34" s="852"/>
      <c r="AS34" s="852"/>
      <c r="AT34" s="852"/>
      <c r="AU34" s="852">
        <v>2</v>
      </c>
      <c r="AV34" s="840">
        <f>SUM(D34:Q34)</f>
        <v>12</v>
      </c>
      <c r="AW34" s="534">
        <f>SUM(R34:AC34)</f>
        <v>12</v>
      </c>
      <c r="AX34" s="630">
        <f>SUM(S34:AV34)</f>
        <v>35</v>
      </c>
      <c r="AY34" s="630">
        <f>SUM(AB34:AP34)</f>
        <v>12</v>
      </c>
      <c r="AZ34" s="534">
        <f t="shared" si="1"/>
        <v>5</v>
      </c>
      <c r="BA34" s="631" t="str">
        <f t="shared" ca="1" si="0"/>
        <v>4nam,7thang,7ngay.</v>
      </c>
    </row>
    <row r="35" spans="1:53" s="197" customFormat="1" ht="18" customHeight="1" x14ac:dyDescent="0.25">
      <c r="A35" s="423">
        <f t="shared" si="2"/>
        <v>32</v>
      </c>
      <c r="B35" s="533" t="s">
        <v>369</v>
      </c>
      <c r="C35" s="607">
        <v>42066</v>
      </c>
      <c r="D35" s="602"/>
      <c r="E35" s="602"/>
      <c r="F35" s="602"/>
      <c r="G35" s="602"/>
      <c r="H35" s="602"/>
      <c r="I35" s="602"/>
      <c r="J35" s="602"/>
      <c r="K35" s="602"/>
      <c r="L35" s="602"/>
      <c r="M35" s="602">
        <v>1</v>
      </c>
      <c r="N35" s="602"/>
      <c r="O35" s="603"/>
      <c r="P35" s="535"/>
      <c r="Q35" s="535"/>
      <c r="R35" s="535"/>
      <c r="S35" s="535"/>
      <c r="T35" s="535">
        <v>4</v>
      </c>
      <c r="U35" s="535">
        <v>2</v>
      </c>
      <c r="V35" s="535">
        <v>1</v>
      </c>
      <c r="W35" s="580"/>
      <c r="X35" s="535">
        <v>2</v>
      </c>
      <c r="Y35" s="535"/>
      <c r="Z35" s="535"/>
      <c r="AA35" s="536"/>
      <c r="AB35" s="682"/>
      <c r="AC35" s="682"/>
      <c r="AD35" s="682"/>
      <c r="AE35" s="682"/>
      <c r="AF35" s="682">
        <v>1</v>
      </c>
      <c r="AG35" s="682"/>
      <c r="AH35" s="682"/>
      <c r="AI35" s="683">
        <v>1</v>
      </c>
      <c r="AJ35" s="682"/>
      <c r="AK35" s="682"/>
      <c r="AL35" s="831"/>
      <c r="AM35" s="845">
        <v>1</v>
      </c>
      <c r="AN35" s="846"/>
      <c r="AO35" s="852"/>
      <c r="AP35" s="852"/>
      <c r="AQ35" s="852">
        <v>7</v>
      </c>
      <c r="AR35" s="852"/>
      <c r="AS35" s="852"/>
      <c r="AT35" s="852"/>
      <c r="AU35" s="852">
        <v>1</v>
      </c>
      <c r="AV35" s="839">
        <f>SUM(D35:U35)</f>
        <v>7</v>
      </c>
      <c r="AW35" s="534">
        <f t="shared" si="3"/>
        <v>4</v>
      </c>
      <c r="AX35" s="534">
        <f>SUM(W35:AV35)</f>
        <v>20</v>
      </c>
      <c r="AY35" s="534">
        <f>SUM(AH35:AR35)</f>
        <v>9</v>
      </c>
      <c r="AZ35" s="534">
        <f t="shared" si="1"/>
        <v>8</v>
      </c>
      <c r="BA35" s="197" t="str">
        <f t="shared" ca="1" si="0"/>
        <v>4nam,7thang,6ngay.</v>
      </c>
    </row>
    <row r="36" spans="1:53" s="197" customFormat="1" ht="18" customHeight="1" x14ac:dyDescent="0.25">
      <c r="A36" s="423">
        <f t="shared" si="2"/>
        <v>33</v>
      </c>
      <c r="B36" s="533" t="s">
        <v>93</v>
      </c>
      <c r="C36" s="607">
        <v>42066</v>
      </c>
      <c r="D36" s="602"/>
      <c r="E36" s="602"/>
      <c r="F36" s="602"/>
      <c r="G36" s="602"/>
      <c r="H36" s="602"/>
      <c r="I36" s="602"/>
      <c r="J36" s="602">
        <v>3</v>
      </c>
      <c r="K36" s="602"/>
      <c r="L36" s="602"/>
      <c r="M36" s="602"/>
      <c r="N36" s="602">
        <v>1</v>
      </c>
      <c r="O36" s="603">
        <v>1</v>
      </c>
      <c r="P36" s="535">
        <v>3</v>
      </c>
      <c r="Q36" s="535"/>
      <c r="R36" s="535"/>
      <c r="S36" s="535"/>
      <c r="T36" s="535"/>
      <c r="U36" s="535">
        <v>3</v>
      </c>
      <c r="V36" s="535">
        <v>1</v>
      </c>
      <c r="W36" s="580"/>
      <c r="X36" s="535"/>
      <c r="Y36" s="535"/>
      <c r="Z36" s="535"/>
      <c r="AA36" s="536"/>
      <c r="AB36" s="682"/>
      <c r="AC36" s="682"/>
      <c r="AD36" s="682"/>
      <c r="AE36" s="682"/>
      <c r="AF36" s="682"/>
      <c r="AG36" s="682">
        <v>1</v>
      </c>
      <c r="AH36" s="682">
        <v>1</v>
      </c>
      <c r="AI36" s="683"/>
      <c r="AJ36" s="682"/>
      <c r="AK36" s="682"/>
      <c r="AL36" s="831"/>
      <c r="AM36" s="845"/>
      <c r="AN36" s="846"/>
      <c r="AO36" s="852"/>
      <c r="AP36" s="852"/>
      <c r="AQ36" s="852"/>
      <c r="AR36" s="852"/>
      <c r="AS36" s="852">
        <v>1</v>
      </c>
      <c r="AT36" s="852">
        <v>3</v>
      </c>
      <c r="AU36" s="852">
        <v>1</v>
      </c>
      <c r="AV36" s="839">
        <f>SUM(D36:U36)</f>
        <v>11</v>
      </c>
      <c r="AW36" s="534">
        <f t="shared" si="3"/>
        <v>2</v>
      </c>
      <c r="AX36" s="534">
        <f>SUM(W36:AV36)</f>
        <v>18</v>
      </c>
      <c r="AY36" s="534">
        <f>SUM(AH36:AM36)</f>
        <v>1</v>
      </c>
      <c r="AZ36" s="534">
        <f t="shared" si="1"/>
        <v>5</v>
      </c>
      <c r="BA36" s="197" t="str">
        <f t="shared" ref="BA36:BA67" ca="1" si="6">DATEDIF(C36,$BB$1,"Y")&amp;"nam,"&amp;DATEDIF(C36,$BB$1,"YM")&amp;"thang,"&amp;DATEDIF(C36,$BB$1,"MD")&amp;"ngay."</f>
        <v>4nam,7thang,6ngay.</v>
      </c>
    </row>
    <row r="37" spans="1:53" s="197" customFormat="1" ht="18" customHeight="1" x14ac:dyDescent="0.25">
      <c r="A37" s="423">
        <f t="shared" si="2"/>
        <v>34</v>
      </c>
      <c r="B37" s="533" t="s">
        <v>80</v>
      </c>
      <c r="C37" s="607">
        <v>42078</v>
      </c>
      <c r="D37" s="602"/>
      <c r="E37" s="602"/>
      <c r="F37" s="602"/>
      <c r="G37" s="602"/>
      <c r="H37" s="602"/>
      <c r="I37" s="602"/>
      <c r="J37" s="602"/>
      <c r="K37" s="602"/>
      <c r="L37" s="602">
        <v>1</v>
      </c>
      <c r="M37" s="602"/>
      <c r="N37" s="602"/>
      <c r="O37" s="603">
        <v>3</v>
      </c>
      <c r="P37" s="535"/>
      <c r="Q37" s="535"/>
      <c r="R37" s="535"/>
      <c r="S37" s="535">
        <v>1</v>
      </c>
      <c r="T37" s="535">
        <v>1</v>
      </c>
      <c r="U37" s="535"/>
      <c r="V37" s="535"/>
      <c r="W37" s="580"/>
      <c r="X37" s="535"/>
      <c r="Y37" s="535"/>
      <c r="Z37" s="535">
        <v>3</v>
      </c>
      <c r="AA37" s="536"/>
      <c r="AB37" s="682"/>
      <c r="AC37" s="682"/>
      <c r="AD37" s="682"/>
      <c r="AE37" s="682"/>
      <c r="AF37" s="682"/>
      <c r="AG37" s="682"/>
      <c r="AH37" s="682"/>
      <c r="AI37" s="683"/>
      <c r="AJ37" s="682"/>
      <c r="AK37" s="682"/>
      <c r="AL37" s="831"/>
      <c r="AM37" s="845"/>
      <c r="AN37" s="846">
        <v>2</v>
      </c>
      <c r="AO37" s="852"/>
      <c r="AP37" s="852"/>
      <c r="AQ37" s="852">
        <v>2</v>
      </c>
      <c r="AR37" s="852"/>
      <c r="AS37" s="852">
        <v>1</v>
      </c>
      <c r="AT37" s="852"/>
      <c r="AU37" s="852">
        <v>1</v>
      </c>
      <c r="AV37" s="839">
        <f>SUM(D37:U37)</f>
        <v>6</v>
      </c>
      <c r="AW37" s="534">
        <f t="shared" si="3"/>
        <v>3</v>
      </c>
      <c r="AX37" s="534">
        <f>SUM(W37:AV37)</f>
        <v>15</v>
      </c>
      <c r="AY37" s="534">
        <f>SUM(AH37:AQ37)</f>
        <v>4</v>
      </c>
      <c r="AZ37" s="534">
        <f t="shared" si="1"/>
        <v>6</v>
      </c>
      <c r="BA37" s="197" t="str">
        <f t="shared" ca="1" si="6"/>
        <v>4nam,6thang,24ngay.</v>
      </c>
    </row>
    <row r="38" spans="1:53" s="197" customFormat="1" ht="18" customHeight="1" x14ac:dyDescent="0.25">
      <c r="A38" s="423">
        <f t="shared" si="2"/>
        <v>35</v>
      </c>
      <c r="B38" s="533" t="s">
        <v>78</v>
      </c>
      <c r="C38" s="607">
        <v>40869</v>
      </c>
      <c r="D38" s="602"/>
      <c r="E38" s="602"/>
      <c r="F38" s="602"/>
      <c r="G38" s="602"/>
      <c r="H38" s="602"/>
      <c r="I38" s="602"/>
      <c r="J38" s="602"/>
      <c r="K38" s="602"/>
      <c r="L38" s="602"/>
      <c r="M38" s="602"/>
      <c r="N38" s="602"/>
      <c r="O38" s="603"/>
      <c r="P38" s="535"/>
      <c r="Q38" s="535"/>
      <c r="R38" s="535"/>
      <c r="S38" s="535"/>
      <c r="T38" s="535">
        <v>2</v>
      </c>
      <c r="U38" s="535"/>
      <c r="V38" s="535"/>
      <c r="W38" s="580"/>
      <c r="X38" s="535"/>
      <c r="Y38" s="535"/>
      <c r="Z38" s="535"/>
      <c r="AA38" s="536">
        <v>2</v>
      </c>
      <c r="AB38" s="682">
        <v>3</v>
      </c>
      <c r="AC38" s="682"/>
      <c r="AD38" s="682"/>
      <c r="AE38" s="682">
        <v>4</v>
      </c>
      <c r="AF38" s="682"/>
      <c r="AG38" s="682"/>
      <c r="AH38" s="682"/>
      <c r="AI38" s="683"/>
      <c r="AJ38" s="682"/>
      <c r="AK38" s="682"/>
      <c r="AL38" s="831"/>
      <c r="AM38" s="845">
        <v>1</v>
      </c>
      <c r="AN38" s="846"/>
      <c r="AO38" s="852"/>
      <c r="AP38" s="852"/>
      <c r="AQ38" s="852">
        <v>1</v>
      </c>
      <c r="AR38" s="852"/>
      <c r="AS38" s="852">
        <v>1</v>
      </c>
      <c r="AT38" s="852">
        <v>1</v>
      </c>
      <c r="AU38" s="852">
        <v>1</v>
      </c>
      <c r="AV38" s="839">
        <f>SUM(D38:U38)</f>
        <v>2</v>
      </c>
      <c r="AW38" s="534">
        <f t="shared" si="3"/>
        <v>9</v>
      </c>
      <c r="AX38" s="534">
        <f>SUM(W38:AV38)</f>
        <v>16</v>
      </c>
      <c r="AY38" s="534">
        <f>SUM(AG38:AQ38)</f>
        <v>2</v>
      </c>
      <c r="AZ38" s="534">
        <f t="shared" si="1"/>
        <v>4</v>
      </c>
      <c r="BA38" s="197" t="str">
        <f t="shared" ca="1" si="6"/>
        <v>7nam,10thang,17ngay.</v>
      </c>
    </row>
    <row r="39" spans="1:53" s="197" customFormat="1" ht="18" customHeight="1" x14ac:dyDescent="0.25">
      <c r="A39" s="423">
        <f t="shared" si="2"/>
        <v>36</v>
      </c>
      <c r="B39" s="533" t="s">
        <v>82</v>
      </c>
      <c r="C39" s="607">
        <v>42201</v>
      </c>
      <c r="D39" s="602"/>
      <c r="E39" s="602"/>
      <c r="F39" s="602"/>
      <c r="G39" s="602"/>
      <c r="H39" s="602"/>
      <c r="I39" s="602"/>
      <c r="J39" s="602"/>
      <c r="K39" s="602"/>
      <c r="L39" s="602"/>
      <c r="M39" s="602"/>
      <c r="N39" s="602"/>
      <c r="O39" s="603"/>
      <c r="P39" s="535">
        <v>1</v>
      </c>
      <c r="Q39" s="535">
        <v>1</v>
      </c>
      <c r="R39" s="535">
        <v>1</v>
      </c>
      <c r="S39" s="535"/>
      <c r="T39" s="535">
        <v>1</v>
      </c>
      <c r="U39" s="535">
        <v>1</v>
      </c>
      <c r="V39" s="535">
        <v>1</v>
      </c>
      <c r="W39" s="580">
        <v>1</v>
      </c>
      <c r="X39" s="535">
        <v>3</v>
      </c>
      <c r="Y39" s="535"/>
      <c r="Z39" s="535">
        <v>1</v>
      </c>
      <c r="AA39" s="536">
        <v>2</v>
      </c>
      <c r="AB39" s="682"/>
      <c r="AC39" s="682"/>
      <c r="AD39" s="682">
        <v>1</v>
      </c>
      <c r="AE39" s="682"/>
      <c r="AF39" s="682"/>
      <c r="AG39" s="682">
        <v>3</v>
      </c>
      <c r="AH39" s="682">
        <v>3</v>
      </c>
      <c r="AI39" s="683"/>
      <c r="AJ39" s="682"/>
      <c r="AK39" s="682"/>
      <c r="AL39" s="831"/>
      <c r="AM39" s="845"/>
      <c r="AN39" s="846"/>
      <c r="AO39" s="852"/>
      <c r="AP39" s="852"/>
      <c r="AQ39" s="852">
        <v>1</v>
      </c>
      <c r="AR39" s="852"/>
      <c r="AS39" s="852"/>
      <c r="AT39" s="852">
        <v>1</v>
      </c>
      <c r="AU39" s="852">
        <v>1</v>
      </c>
      <c r="AV39" s="839">
        <f>SUM(D39:U39)</f>
        <v>5</v>
      </c>
      <c r="AW39" s="534">
        <f t="shared" si="3"/>
        <v>12</v>
      </c>
      <c r="AX39" s="534">
        <f>SUM(W39:AV39)</f>
        <v>22</v>
      </c>
      <c r="AY39" s="534">
        <f>SUM(AH39:AQ39)</f>
        <v>4</v>
      </c>
      <c r="AZ39" s="534">
        <f t="shared" si="1"/>
        <v>3</v>
      </c>
      <c r="BA39" s="197" t="str">
        <f t="shared" ca="1" si="6"/>
        <v>4nam,2thang,23ngay.</v>
      </c>
    </row>
    <row r="40" spans="1:53" s="197" customFormat="1" ht="18" customHeight="1" x14ac:dyDescent="0.25">
      <c r="A40" s="423">
        <f t="shared" si="2"/>
        <v>37</v>
      </c>
      <c r="B40" s="533" t="s">
        <v>79</v>
      </c>
      <c r="C40" s="607">
        <v>41232</v>
      </c>
      <c r="D40" s="602"/>
      <c r="E40" s="602"/>
      <c r="F40" s="602"/>
      <c r="G40" s="602"/>
      <c r="H40" s="602"/>
      <c r="I40" s="602"/>
      <c r="J40" s="602"/>
      <c r="K40" s="602"/>
      <c r="L40" s="602"/>
      <c r="M40" s="602">
        <v>2</v>
      </c>
      <c r="N40" s="602">
        <v>2</v>
      </c>
      <c r="O40" s="603">
        <v>1</v>
      </c>
      <c r="P40" s="535">
        <v>2</v>
      </c>
      <c r="Q40" s="535">
        <v>2</v>
      </c>
      <c r="R40" s="535">
        <v>2</v>
      </c>
      <c r="S40" s="535">
        <v>1</v>
      </c>
      <c r="T40" s="535">
        <v>1</v>
      </c>
      <c r="U40" s="535">
        <v>3</v>
      </c>
      <c r="V40" s="535">
        <v>2</v>
      </c>
      <c r="W40" s="580">
        <v>2</v>
      </c>
      <c r="X40" s="535"/>
      <c r="Y40" s="535"/>
      <c r="Z40" s="535"/>
      <c r="AA40" s="536"/>
      <c r="AB40" s="682">
        <v>1</v>
      </c>
      <c r="AC40" s="682"/>
      <c r="AD40" s="682">
        <v>2</v>
      </c>
      <c r="AE40" s="682">
        <v>2</v>
      </c>
      <c r="AF40" s="682">
        <v>1</v>
      </c>
      <c r="AG40" s="682">
        <v>1</v>
      </c>
      <c r="AH40" s="682">
        <v>2</v>
      </c>
      <c r="AI40" s="683">
        <v>2</v>
      </c>
      <c r="AJ40" s="682"/>
      <c r="AK40" s="682"/>
      <c r="AL40" s="831"/>
      <c r="AM40" s="845"/>
      <c r="AN40" s="846"/>
      <c r="AO40" s="852"/>
      <c r="AP40" s="852"/>
      <c r="AQ40" s="852"/>
      <c r="AR40" s="852"/>
      <c r="AS40" s="852"/>
      <c r="AT40" s="852"/>
      <c r="AU40" s="852"/>
      <c r="AV40" s="839">
        <f>SUM(D40:T40)</f>
        <v>13</v>
      </c>
      <c r="AW40" s="534">
        <f t="shared" si="3"/>
        <v>11</v>
      </c>
      <c r="AX40" s="534">
        <f>SUM(V40:AV40)</f>
        <v>28</v>
      </c>
      <c r="AY40" s="534">
        <f>SUM(AH40:AM40)</f>
        <v>4</v>
      </c>
      <c r="AZ40" s="534">
        <f t="shared" si="1"/>
        <v>0</v>
      </c>
      <c r="BA40" s="197" t="str">
        <f t="shared" ca="1" si="6"/>
        <v>6nam,10thang,20ngay.</v>
      </c>
    </row>
    <row r="41" spans="1:53" s="197" customFormat="1" ht="18" customHeight="1" x14ac:dyDescent="0.25">
      <c r="A41" s="423">
        <f t="shared" si="2"/>
        <v>38</v>
      </c>
      <c r="B41" s="533" t="s">
        <v>563</v>
      </c>
      <c r="C41" s="607">
        <v>42362</v>
      </c>
      <c r="D41" s="602"/>
      <c r="E41" s="602"/>
      <c r="F41" s="602"/>
      <c r="G41" s="602"/>
      <c r="H41" s="602"/>
      <c r="I41" s="602"/>
      <c r="J41" s="602"/>
      <c r="K41" s="602"/>
      <c r="L41" s="602"/>
      <c r="M41" s="602"/>
      <c r="N41" s="602"/>
      <c r="O41" s="603"/>
      <c r="P41" s="535">
        <v>2</v>
      </c>
      <c r="Q41" s="535"/>
      <c r="R41" s="535"/>
      <c r="S41" s="535">
        <v>2</v>
      </c>
      <c r="T41" s="535">
        <v>2</v>
      </c>
      <c r="U41" s="535">
        <v>2</v>
      </c>
      <c r="V41" s="535">
        <v>2</v>
      </c>
      <c r="W41" s="580">
        <v>2</v>
      </c>
      <c r="X41" s="535"/>
      <c r="Y41" s="535">
        <v>2</v>
      </c>
      <c r="Z41" s="535">
        <v>3</v>
      </c>
      <c r="AA41" s="536">
        <v>1</v>
      </c>
      <c r="AB41" s="682"/>
      <c r="AC41" s="682"/>
      <c r="AD41" s="682"/>
      <c r="AE41" s="682"/>
      <c r="AF41" s="682"/>
      <c r="AG41" s="682"/>
      <c r="AH41" s="682"/>
      <c r="AI41" s="683">
        <v>2</v>
      </c>
      <c r="AJ41" s="682"/>
      <c r="AK41" s="682">
        <v>3</v>
      </c>
      <c r="AL41" s="831">
        <v>1</v>
      </c>
      <c r="AM41" s="845">
        <v>2</v>
      </c>
      <c r="AN41" s="846">
        <v>4</v>
      </c>
      <c r="AO41" s="852">
        <v>2</v>
      </c>
      <c r="AP41" s="852">
        <v>2</v>
      </c>
      <c r="AQ41" s="852"/>
      <c r="AR41" s="852">
        <v>1</v>
      </c>
      <c r="AS41" s="852"/>
      <c r="AT41" s="852"/>
      <c r="AU41" s="852"/>
      <c r="AV41" s="839">
        <f t="shared" ref="AV41:AV86" si="7">SUM(D41:U41)</f>
        <v>8</v>
      </c>
      <c r="AW41" s="534">
        <f t="shared" si="3"/>
        <v>10</v>
      </c>
      <c r="AX41" s="534">
        <f t="shared" ref="AX41:AX86" si="8">SUM(W41:AV41)</f>
        <v>33</v>
      </c>
      <c r="AY41" s="534">
        <f>SUM(AH41:AN41)</f>
        <v>12</v>
      </c>
      <c r="AZ41" s="534">
        <f t="shared" si="1"/>
        <v>9</v>
      </c>
      <c r="BA41" s="197" t="str">
        <f t="shared" ca="1" si="6"/>
        <v>3nam,9thang,15ngay.</v>
      </c>
    </row>
    <row r="42" spans="1:53" s="197" customFormat="1" ht="18" customHeight="1" x14ac:dyDescent="0.25">
      <c r="A42" s="423">
        <f t="shared" si="2"/>
        <v>39</v>
      </c>
      <c r="B42" s="533" t="s">
        <v>572</v>
      </c>
      <c r="C42" s="607">
        <v>42376</v>
      </c>
      <c r="D42" s="602"/>
      <c r="E42" s="602"/>
      <c r="F42" s="602"/>
      <c r="G42" s="602"/>
      <c r="H42" s="602"/>
      <c r="I42" s="602"/>
      <c r="J42" s="602"/>
      <c r="K42" s="602"/>
      <c r="L42" s="602"/>
      <c r="M42" s="602"/>
      <c r="N42" s="602"/>
      <c r="O42" s="603"/>
      <c r="P42" s="535">
        <v>2</v>
      </c>
      <c r="Q42" s="535"/>
      <c r="R42" s="535">
        <v>3</v>
      </c>
      <c r="S42" s="535">
        <v>3</v>
      </c>
      <c r="T42" s="535"/>
      <c r="U42" s="535"/>
      <c r="V42" s="535"/>
      <c r="W42" s="580"/>
      <c r="X42" s="535"/>
      <c r="Y42" s="535"/>
      <c r="Z42" s="535"/>
      <c r="AA42" s="536"/>
      <c r="AB42" s="682"/>
      <c r="AC42" s="682"/>
      <c r="AD42" s="682"/>
      <c r="AE42" s="682"/>
      <c r="AF42" s="682"/>
      <c r="AG42" s="682"/>
      <c r="AH42" s="682"/>
      <c r="AI42" s="683"/>
      <c r="AJ42" s="682"/>
      <c r="AK42" s="682"/>
      <c r="AL42" s="831"/>
      <c r="AM42" s="845"/>
      <c r="AN42" s="846"/>
      <c r="AO42" s="852"/>
      <c r="AP42" s="852"/>
      <c r="AQ42" s="852"/>
      <c r="AR42" s="852"/>
      <c r="AS42" s="852"/>
      <c r="AT42" s="852"/>
      <c r="AU42" s="852"/>
      <c r="AV42" s="839">
        <f t="shared" si="7"/>
        <v>8</v>
      </c>
      <c r="AW42" s="534">
        <f t="shared" si="3"/>
        <v>0</v>
      </c>
      <c r="AX42" s="534">
        <f t="shared" si="8"/>
        <v>8</v>
      </c>
      <c r="AY42" s="534">
        <f t="shared" ref="AY42:AY48" si="9">SUM(AH42:AM42)</f>
        <v>0</v>
      </c>
      <c r="AZ42" s="534">
        <f t="shared" si="1"/>
        <v>0</v>
      </c>
      <c r="BA42" s="197" t="str">
        <f t="shared" ca="1" si="6"/>
        <v>3nam,9thang,2ngay.</v>
      </c>
    </row>
    <row r="43" spans="1:53" s="197" customFormat="1" ht="18" customHeight="1" x14ac:dyDescent="0.25">
      <c r="A43" s="423">
        <f t="shared" si="2"/>
        <v>40</v>
      </c>
      <c r="B43" s="533" t="s">
        <v>578</v>
      </c>
      <c r="C43" s="607">
        <v>42387</v>
      </c>
      <c r="D43" s="602"/>
      <c r="E43" s="602"/>
      <c r="F43" s="602"/>
      <c r="G43" s="602"/>
      <c r="H43" s="602"/>
      <c r="I43" s="602"/>
      <c r="J43" s="602"/>
      <c r="K43" s="602"/>
      <c r="L43" s="602"/>
      <c r="M43" s="602"/>
      <c r="N43" s="602"/>
      <c r="O43" s="603"/>
      <c r="P43" s="535">
        <v>1</v>
      </c>
      <c r="Q43" s="535">
        <v>1</v>
      </c>
      <c r="R43" s="535"/>
      <c r="S43" s="535">
        <v>1</v>
      </c>
      <c r="T43" s="535">
        <v>1</v>
      </c>
      <c r="U43" s="535">
        <v>3</v>
      </c>
      <c r="V43" s="535">
        <v>1</v>
      </c>
      <c r="W43" s="580">
        <v>2</v>
      </c>
      <c r="X43" s="535">
        <v>2</v>
      </c>
      <c r="Y43" s="535">
        <v>1</v>
      </c>
      <c r="Z43" s="535">
        <v>1</v>
      </c>
      <c r="AA43" s="536">
        <v>1</v>
      </c>
      <c r="AB43" s="682">
        <v>1</v>
      </c>
      <c r="AC43" s="682"/>
      <c r="AD43" s="682"/>
      <c r="AE43" s="682">
        <v>1</v>
      </c>
      <c r="AF43" s="682"/>
      <c r="AG43" s="682"/>
      <c r="AH43" s="682"/>
      <c r="AI43" s="683">
        <v>1</v>
      </c>
      <c r="AJ43" s="682">
        <v>1</v>
      </c>
      <c r="AK43" s="682">
        <v>2</v>
      </c>
      <c r="AL43" s="831">
        <v>1</v>
      </c>
      <c r="AM43" s="845"/>
      <c r="AN43" s="846"/>
      <c r="AO43" s="852"/>
      <c r="AP43" s="852">
        <v>1</v>
      </c>
      <c r="AQ43" s="852"/>
      <c r="AR43" s="852">
        <v>1</v>
      </c>
      <c r="AS43" s="852">
        <v>2</v>
      </c>
      <c r="AT43" s="852">
        <v>4</v>
      </c>
      <c r="AU43" s="852"/>
      <c r="AV43" s="839">
        <f t="shared" si="7"/>
        <v>7</v>
      </c>
      <c r="AW43" s="534">
        <f t="shared" si="3"/>
        <v>10</v>
      </c>
      <c r="AX43" s="534">
        <f t="shared" si="8"/>
        <v>29</v>
      </c>
      <c r="AY43" s="534">
        <f>SUM(AH43:AP43)</f>
        <v>6</v>
      </c>
      <c r="AZ43" s="534">
        <f t="shared" si="1"/>
        <v>8</v>
      </c>
      <c r="BA43" s="197" t="str">
        <f t="shared" ca="1" si="6"/>
        <v>3nam,8thang,21ngay.</v>
      </c>
    </row>
    <row r="44" spans="1:53" s="197" customFormat="1" ht="18" customHeight="1" x14ac:dyDescent="0.25">
      <c r="A44" s="423">
        <f t="shared" si="2"/>
        <v>41</v>
      </c>
      <c r="B44" s="533" t="s">
        <v>589</v>
      </c>
      <c r="C44" s="607">
        <v>42413</v>
      </c>
      <c r="D44" s="602"/>
      <c r="E44" s="602"/>
      <c r="F44" s="602"/>
      <c r="G44" s="602"/>
      <c r="H44" s="602"/>
      <c r="I44" s="602"/>
      <c r="J44" s="602"/>
      <c r="K44" s="602"/>
      <c r="L44" s="602"/>
      <c r="M44" s="602"/>
      <c r="N44" s="602"/>
      <c r="O44" s="603"/>
      <c r="P44" s="535"/>
      <c r="Q44" s="535"/>
      <c r="R44" s="535"/>
      <c r="S44" s="535">
        <v>4</v>
      </c>
      <c r="T44" s="535"/>
      <c r="U44" s="535">
        <v>1</v>
      </c>
      <c r="V44" s="535">
        <v>1</v>
      </c>
      <c r="W44" s="580">
        <v>1</v>
      </c>
      <c r="X44" s="535">
        <v>3</v>
      </c>
      <c r="Y44" s="535"/>
      <c r="Z44" s="535">
        <v>3</v>
      </c>
      <c r="AA44" s="536">
        <v>1</v>
      </c>
      <c r="AB44" s="682"/>
      <c r="AC44" s="682"/>
      <c r="AD44" s="682"/>
      <c r="AE44" s="682">
        <v>1</v>
      </c>
      <c r="AF44" s="682"/>
      <c r="AG44" s="682">
        <v>1</v>
      </c>
      <c r="AH44" s="682">
        <v>5</v>
      </c>
      <c r="AI44" s="683">
        <v>1</v>
      </c>
      <c r="AJ44" s="682"/>
      <c r="AK44" s="801">
        <v>0.5</v>
      </c>
      <c r="AL44" s="831"/>
      <c r="AM44" s="845">
        <v>6</v>
      </c>
      <c r="AN44" s="846"/>
      <c r="AO44" s="852">
        <v>3</v>
      </c>
      <c r="AP44" s="852"/>
      <c r="AQ44" s="852"/>
      <c r="AR44" s="852"/>
      <c r="AS44" s="852">
        <v>1</v>
      </c>
      <c r="AT44" s="852"/>
      <c r="AU44" s="852"/>
      <c r="AV44" s="839">
        <f t="shared" si="7"/>
        <v>5</v>
      </c>
      <c r="AW44" s="534">
        <f>SUM(V44:AG44)</f>
        <v>11</v>
      </c>
      <c r="AX44" s="534">
        <f t="shared" si="8"/>
        <v>31.5</v>
      </c>
      <c r="AY44" s="823">
        <f t="shared" si="9"/>
        <v>12.5</v>
      </c>
      <c r="AZ44" s="534">
        <f t="shared" si="1"/>
        <v>4</v>
      </c>
      <c r="BA44" s="197" t="str">
        <f t="shared" ca="1" si="6"/>
        <v>3nam,7thang,26ngay.</v>
      </c>
    </row>
    <row r="45" spans="1:53" s="197" customFormat="1" ht="18" customHeight="1" x14ac:dyDescent="0.25">
      <c r="A45" s="423">
        <f t="shared" si="2"/>
        <v>42</v>
      </c>
      <c r="B45" s="533" t="s">
        <v>599</v>
      </c>
      <c r="C45" s="607">
        <v>42415</v>
      </c>
      <c r="D45" s="602"/>
      <c r="E45" s="602"/>
      <c r="F45" s="602"/>
      <c r="G45" s="602"/>
      <c r="H45" s="602"/>
      <c r="I45" s="602"/>
      <c r="J45" s="602"/>
      <c r="K45" s="602"/>
      <c r="L45" s="602"/>
      <c r="M45" s="602"/>
      <c r="N45" s="602"/>
      <c r="O45" s="603"/>
      <c r="P45" s="535"/>
      <c r="Q45" s="535">
        <v>1</v>
      </c>
      <c r="R45" s="535"/>
      <c r="S45" s="535"/>
      <c r="T45" s="535"/>
      <c r="U45" s="535"/>
      <c r="V45" s="535">
        <v>1</v>
      </c>
      <c r="W45" s="580"/>
      <c r="X45" s="535"/>
      <c r="Y45" s="535"/>
      <c r="Z45" s="535">
        <v>1</v>
      </c>
      <c r="AA45" s="536"/>
      <c r="AB45" s="682"/>
      <c r="AC45" s="682">
        <v>1</v>
      </c>
      <c r="AD45" s="682"/>
      <c r="AE45" s="682">
        <v>1</v>
      </c>
      <c r="AF45" s="682"/>
      <c r="AG45" s="682"/>
      <c r="AH45" s="682"/>
      <c r="AI45" s="683">
        <v>1</v>
      </c>
      <c r="AJ45" s="682">
        <v>1</v>
      </c>
      <c r="AK45" s="682"/>
      <c r="AL45" s="831"/>
      <c r="AM45" s="845"/>
      <c r="AN45" s="846"/>
      <c r="AO45" s="852"/>
      <c r="AP45" s="852"/>
      <c r="AQ45" s="852"/>
      <c r="AR45" s="852"/>
      <c r="AS45" s="852"/>
      <c r="AT45" s="852"/>
      <c r="AU45" s="852">
        <v>1</v>
      </c>
      <c r="AV45" s="839">
        <f t="shared" si="7"/>
        <v>1</v>
      </c>
      <c r="AW45" s="534">
        <f>SUM(V45:AG45)</f>
        <v>4</v>
      </c>
      <c r="AX45" s="534">
        <f t="shared" si="8"/>
        <v>7</v>
      </c>
      <c r="AY45" s="534">
        <f t="shared" si="9"/>
        <v>2</v>
      </c>
      <c r="AZ45" s="534">
        <f t="shared" si="1"/>
        <v>1</v>
      </c>
      <c r="BA45" s="197" t="str">
        <f t="shared" ca="1" si="6"/>
        <v>3nam,7thang,24ngay.</v>
      </c>
    </row>
    <row r="46" spans="1:53" s="197" customFormat="1" ht="18" customHeight="1" x14ac:dyDescent="0.25">
      <c r="A46" s="423">
        <f t="shared" si="2"/>
        <v>43</v>
      </c>
      <c r="B46" s="533" t="s">
        <v>600</v>
      </c>
      <c r="C46" s="607">
        <v>42415</v>
      </c>
      <c r="D46" s="602"/>
      <c r="E46" s="602"/>
      <c r="F46" s="602"/>
      <c r="G46" s="602"/>
      <c r="H46" s="602"/>
      <c r="I46" s="602"/>
      <c r="J46" s="602"/>
      <c r="K46" s="602"/>
      <c r="L46" s="602"/>
      <c r="M46" s="602"/>
      <c r="N46" s="602"/>
      <c r="O46" s="603"/>
      <c r="P46" s="535"/>
      <c r="Q46" s="535">
        <v>1</v>
      </c>
      <c r="R46" s="535"/>
      <c r="S46" s="535"/>
      <c r="T46" s="535">
        <v>1</v>
      </c>
      <c r="U46" s="535"/>
      <c r="V46" s="535"/>
      <c r="W46" s="580"/>
      <c r="X46" s="535">
        <v>1</v>
      </c>
      <c r="Y46" s="535"/>
      <c r="Z46" s="535">
        <v>1</v>
      </c>
      <c r="AA46" s="536"/>
      <c r="AB46" s="682"/>
      <c r="AC46" s="682"/>
      <c r="AD46" s="682"/>
      <c r="AE46" s="682"/>
      <c r="AF46" s="682"/>
      <c r="AG46" s="682">
        <v>2</v>
      </c>
      <c r="AH46" s="682"/>
      <c r="AI46" s="683">
        <v>1</v>
      </c>
      <c r="AJ46" s="682"/>
      <c r="AK46" s="682"/>
      <c r="AL46" s="831">
        <v>1</v>
      </c>
      <c r="AM46" s="845"/>
      <c r="AN46" s="846"/>
      <c r="AO46" s="852"/>
      <c r="AP46" s="852">
        <v>1</v>
      </c>
      <c r="AQ46" s="852">
        <v>1</v>
      </c>
      <c r="AR46" s="852"/>
      <c r="AS46" s="852"/>
      <c r="AT46" s="852"/>
      <c r="AU46" s="852">
        <v>1</v>
      </c>
      <c r="AV46" s="839">
        <f t="shared" si="7"/>
        <v>2</v>
      </c>
      <c r="AW46" s="534">
        <f t="shared" si="3"/>
        <v>4</v>
      </c>
      <c r="AX46" s="534">
        <f t="shared" si="8"/>
        <v>11</v>
      </c>
      <c r="AY46" s="534">
        <f>SUM(AH46:AQ46)</f>
        <v>4</v>
      </c>
      <c r="AZ46" s="534">
        <f t="shared" si="1"/>
        <v>3</v>
      </c>
      <c r="BA46" s="197" t="str">
        <f t="shared" ca="1" si="6"/>
        <v>3nam,7thang,24ngay.</v>
      </c>
    </row>
    <row r="47" spans="1:53" s="197" customFormat="1" ht="18" customHeight="1" x14ac:dyDescent="0.25">
      <c r="A47" s="423">
        <f t="shared" si="2"/>
        <v>44</v>
      </c>
      <c r="B47" s="533" t="s">
        <v>601</v>
      </c>
      <c r="C47" s="607">
        <v>42415</v>
      </c>
      <c r="D47" s="602"/>
      <c r="E47" s="602"/>
      <c r="F47" s="602"/>
      <c r="G47" s="602"/>
      <c r="H47" s="602"/>
      <c r="I47" s="602"/>
      <c r="J47" s="602"/>
      <c r="K47" s="602"/>
      <c r="L47" s="602"/>
      <c r="M47" s="602"/>
      <c r="N47" s="602"/>
      <c r="O47" s="603"/>
      <c r="P47" s="535"/>
      <c r="Q47" s="535"/>
      <c r="R47" s="535">
        <v>1</v>
      </c>
      <c r="S47" s="535">
        <v>1</v>
      </c>
      <c r="T47" s="535">
        <v>1</v>
      </c>
      <c r="U47" s="535"/>
      <c r="V47" s="535"/>
      <c r="W47" s="580"/>
      <c r="X47" s="535"/>
      <c r="Y47" s="535">
        <v>3</v>
      </c>
      <c r="Z47" s="535">
        <v>1</v>
      </c>
      <c r="AA47" s="536"/>
      <c r="AB47" s="682"/>
      <c r="AC47" s="682"/>
      <c r="AD47" s="682"/>
      <c r="AE47" s="682"/>
      <c r="AF47" s="682">
        <v>2</v>
      </c>
      <c r="AG47" s="682"/>
      <c r="AH47" s="682"/>
      <c r="AI47" s="683"/>
      <c r="AJ47" s="682">
        <v>1</v>
      </c>
      <c r="AK47" s="682">
        <v>4</v>
      </c>
      <c r="AL47" s="831"/>
      <c r="AM47" s="845"/>
      <c r="AN47" s="846"/>
      <c r="AO47" s="852"/>
      <c r="AP47" s="852">
        <v>2</v>
      </c>
      <c r="AQ47" s="852">
        <v>1</v>
      </c>
      <c r="AR47" s="852"/>
      <c r="AS47" s="852"/>
      <c r="AT47" s="852"/>
      <c r="AU47" s="852"/>
      <c r="AV47" s="839">
        <f t="shared" si="7"/>
        <v>3</v>
      </c>
      <c r="AW47" s="534">
        <f t="shared" si="3"/>
        <v>6</v>
      </c>
      <c r="AX47" s="534">
        <f t="shared" si="8"/>
        <v>17</v>
      </c>
      <c r="AY47" s="534">
        <f>SUM(AH47:AP47)</f>
        <v>7</v>
      </c>
      <c r="AZ47" s="534">
        <f t="shared" si="1"/>
        <v>3</v>
      </c>
      <c r="BA47" s="197" t="str">
        <f t="shared" ca="1" si="6"/>
        <v>3nam,7thang,24ngay.</v>
      </c>
    </row>
    <row r="48" spans="1:53" s="197" customFormat="1" ht="18" customHeight="1" x14ac:dyDescent="0.25">
      <c r="A48" s="423">
        <f t="shared" si="2"/>
        <v>45</v>
      </c>
      <c r="B48" s="533" t="s">
        <v>604</v>
      </c>
      <c r="C48" s="607">
        <v>42415</v>
      </c>
      <c r="D48" s="602"/>
      <c r="E48" s="602"/>
      <c r="F48" s="602"/>
      <c r="G48" s="602"/>
      <c r="H48" s="602"/>
      <c r="I48" s="602"/>
      <c r="J48" s="602"/>
      <c r="K48" s="602"/>
      <c r="L48" s="602"/>
      <c r="M48" s="602"/>
      <c r="N48" s="602"/>
      <c r="O48" s="603"/>
      <c r="P48" s="535"/>
      <c r="Q48" s="535"/>
      <c r="R48" s="535">
        <v>1</v>
      </c>
      <c r="S48" s="535">
        <v>2</v>
      </c>
      <c r="T48" s="535"/>
      <c r="U48" s="535">
        <v>1</v>
      </c>
      <c r="V48" s="535"/>
      <c r="W48" s="580"/>
      <c r="X48" s="535">
        <v>3</v>
      </c>
      <c r="Y48" s="535"/>
      <c r="Z48" s="535">
        <v>2</v>
      </c>
      <c r="AA48" s="536"/>
      <c r="AB48" s="682"/>
      <c r="AC48" s="682"/>
      <c r="AD48" s="682"/>
      <c r="AE48" s="682"/>
      <c r="AF48" s="682"/>
      <c r="AG48" s="682">
        <v>2</v>
      </c>
      <c r="AH48" s="682"/>
      <c r="AI48" s="683"/>
      <c r="AJ48" s="682"/>
      <c r="AK48" s="682">
        <v>1</v>
      </c>
      <c r="AL48" s="831"/>
      <c r="AM48" s="845"/>
      <c r="AN48" s="846"/>
      <c r="AO48" s="852"/>
      <c r="AP48" s="852"/>
      <c r="AQ48" s="852"/>
      <c r="AR48" s="852"/>
      <c r="AS48" s="852">
        <v>2</v>
      </c>
      <c r="AT48" s="852"/>
      <c r="AU48" s="852">
        <v>1</v>
      </c>
      <c r="AV48" s="839">
        <f t="shared" si="7"/>
        <v>4</v>
      </c>
      <c r="AW48" s="534">
        <f t="shared" si="3"/>
        <v>7</v>
      </c>
      <c r="AX48" s="534">
        <f t="shared" si="8"/>
        <v>15</v>
      </c>
      <c r="AY48" s="534">
        <f t="shared" si="9"/>
        <v>1</v>
      </c>
      <c r="AZ48" s="534">
        <f t="shared" si="1"/>
        <v>3</v>
      </c>
      <c r="BA48" s="197" t="str">
        <f t="shared" ca="1" si="6"/>
        <v>3nam,7thang,24ngay.</v>
      </c>
    </row>
    <row r="49" spans="1:53" s="197" customFormat="1" ht="18" customHeight="1" x14ac:dyDescent="0.25">
      <c r="A49" s="423">
        <f t="shared" si="2"/>
        <v>46</v>
      </c>
      <c r="B49" s="533" t="s">
        <v>603</v>
      </c>
      <c r="C49" s="607">
        <v>42417</v>
      </c>
      <c r="D49" s="602"/>
      <c r="E49" s="602"/>
      <c r="F49" s="602"/>
      <c r="G49" s="602"/>
      <c r="H49" s="602"/>
      <c r="I49" s="602"/>
      <c r="J49" s="602"/>
      <c r="K49" s="602"/>
      <c r="L49" s="602"/>
      <c r="M49" s="602"/>
      <c r="N49" s="602"/>
      <c r="O49" s="603"/>
      <c r="P49" s="535"/>
      <c r="Q49" s="535">
        <v>1</v>
      </c>
      <c r="R49" s="535"/>
      <c r="S49" s="535"/>
      <c r="T49" s="535"/>
      <c r="U49" s="535">
        <v>1</v>
      </c>
      <c r="V49" s="535">
        <v>1</v>
      </c>
      <c r="W49" s="580">
        <v>2</v>
      </c>
      <c r="X49" s="535">
        <v>2</v>
      </c>
      <c r="Y49" s="535"/>
      <c r="Z49" s="535"/>
      <c r="AA49" s="536"/>
      <c r="AB49" s="682">
        <v>1</v>
      </c>
      <c r="AC49" s="682">
        <v>1</v>
      </c>
      <c r="AD49" s="682"/>
      <c r="AE49" s="682"/>
      <c r="AF49" s="682"/>
      <c r="AG49" s="682">
        <v>1</v>
      </c>
      <c r="AH49" s="682">
        <v>1</v>
      </c>
      <c r="AI49" s="683"/>
      <c r="AJ49" s="682"/>
      <c r="AK49" s="682">
        <v>1</v>
      </c>
      <c r="AL49" s="831"/>
      <c r="AM49" s="845"/>
      <c r="AN49" s="846">
        <v>3</v>
      </c>
      <c r="AO49" s="852"/>
      <c r="AP49" s="852">
        <v>7</v>
      </c>
      <c r="AQ49" s="852">
        <v>5</v>
      </c>
      <c r="AR49" s="852"/>
      <c r="AS49" s="852"/>
      <c r="AT49" s="852"/>
      <c r="AU49" s="852"/>
      <c r="AV49" s="839">
        <f t="shared" si="7"/>
        <v>2</v>
      </c>
      <c r="AW49" s="534">
        <f t="shared" si="3"/>
        <v>8</v>
      </c>
      <c r="AX49" s="534">
        <f t="shared" si="8"/>
        <v>26</v>
      </c>
      <c r="AY49" s="534">
        <f>SUM(AH49:AP49)</f>
        <v>12</v>
      </c>
      <c r="AZ49" s="534">
        <f t="shared" si="1"/>
        <v>15</v>
      </c>
      <c r="BA49" s="197" t="str">
        <f t="shared" ca="1" si="6"/>
        <v>3nam,7thang,22ngay.</v>
      </c>
    </row>
    <row r="50" spans="1:53" s="197" customFormat="1" ht="18" customHeight="1" x14ac:dyDescent="0.25">
      <c r="A50" s="423">
        <f t="shared" si="2"/>
        <v>47</v>
      </c>
      <c r="B50" s="533" t="s">
        <v>614</v>
      </c>
      <c r="C50" s="607">
        <v>42419</v>
      </c>
      <c r="D50" s="602"/>
      <c r="E50" s="602"/>
      <c r="F50" s="602"/>
      <c r="G50" s="602"/>
      <c r="H50" s="602"/>
      <c r="I50" s="602"/>
      <c r="J50" s="602"/>
      <c r="K50" s="602"/>
      <c r="L50" s="602"/>
      <c r="M50" s="602"/>
      <c r="N50" s="602"/>
      <c r="O50" s="603"/>
      <c r="P50" s="535"/>
      <c r="Q50" s="535">
        <v>2</v>
      </c>
      <c r="R50" s="535"/>
      <c r="S50" s="535"/>
      <c r="T50" s="535">
        <v>1</v>
      </c>
      <c r="U50" s="535">
        <v>1</v>
      </c>
      <c r="V50" s="535">
        <v>1</v>
      </c>
      <c r="W50" s="580">
        <v>1</v>
      </c>
      <c r="X50" s="535"/>
      <c r="Y50" s="535"/>
      <c r="Z50" s="535"/>
      <c r="AA50" s="536">
        <v>1</v>
      </c>
      <c r="AB50" s="682"/>
      <c r="AC50" s="682"/>
      <c r="AD50" s="682">
        <v>1</v>
      </c>
      <c r="AE50" s="682">
        <v>1</v>
      </c>
      <c r="AF50" s="682"/>
      <c r="AG50" s="682"/>
      <c r="AH50" s="682"/>
      <c r="AI50" s="683">
        <v>1</v>
      </c>
      <c r="AJ50" s="682">
        <v>1</v>
      </c>
      <c r="AK50" s="682">
        <v>1</v>
      </c>
      <c r="AL50" s="831">
        <v>1</v>
      </c>
      <c r="AM50" s="845">
        <v>1</v>
      </c>
      <c r="AN50" s="846"/>
      <c r="AO50" s="852"/>
      <c r="AP50" s="852">
        <v>1</v>
      </c>
      <c r="AQ50" s="852"/>
      <c r="AR50" s="852"/>
      <c r="AS50" s="852"/>
      <c r="AT50" s="852"/>
      <c r="AU50" s="852"/>
      <c r="AV50" s="839">
        <f t="shared" si="7"/>
        <v>4</v>
      </c>
      <c r="AW50" s="534">
        <f t="shared" si="3"/>
        <v>5</v>
      </c>
      <c r="AX50" s="534">
        <f t="shared" si="8"/>
        <v>14</v>
      </c>
      <c r="AY50" s="534">
        <f>SUM(AH50:AP50)</f>
        <v>6</v>
      </c>
      <c r="AZ50" s="534">
        <f t="shared" si="1"/>
        <v>1</v>
      </c>
      <c r="BA50" s="197" t="str">
        <f t="shared" ca="1" si="6"/>
        <v>3nam,7thang,20ngay.</v>
      </c>
    </row>
    <row r="51" spans="1:53" s="197" customFormat="1" ht="18" customHeight="1" x14ac:dyDescent="0.25">
      <c r="A51" s="423">
        <f t="shared" si="2"/>
        <v>48</v>
      </c>
      <c r="B51" s="533" t="s">
        <v>615</v>
      </c>
      <c r="C51" s="607">
        <v>42419</v>
      </c>
      <c r="D51" s="602"/>
      <c r="E51" s="602"/>
      <c r="F51" s="602"/>
      <c r="G51" s="602"/>
      <c r="H51" s="602"/>
      <c r="I51" s="602"/>
      <c r="J51" s="602"/>
      <c r="K51" s="602"/>
      <c r="L51" s="602"/>
      <c r="M51" s="602"/>
      <c r="N51" s="602"/>
      <c r="O51" s="603"/>
      <c r="P51" s="535"/>
      <c r="Q51" s="535">
        <v>1</v>
      </c>
      <c r="R51" s="535"/>
      <c r="S51" s="535"/>
      <c r="T51" s="535">
        <v>1</v>
      </c>
      <c r="U51" s="535">
        <v>1</v>
      </c>
      <c r="V51" s="535"/>
      <c r="W51" s="580">
        <v>1</v>
      </c>
      <c r="X51" s="535">
        <v>1</v>
      </c>
      <c r="Y51" s="535"/>
      <c r="Z51" s="535"/>
      <c r="AA51" s="536">
        <v>1</v>
      </c>
      <c r="AB51" s="682"/>
      <c r="AC51" s="682"/>
      <c r="AD51" s="682">
        <v>1</v>
      </c>
      <c r="AE51" s="682"/>
      <c r="AF51" s="682">
        <v>2</v>
      </c>
      <c r="AG51" s="682"/>
      <c r="AH51" s="682"/>
      <c r="AI51" s="683"/>
      <c r="AJ51" s="682"/>
      <c r="AK51" s="682">
        <v>1</v>
      </c>
      <c r="AL51" s="831">
        <v>1</v>
      </c>
      <c r="AM51" s="845"/>
      <c r="AN51" s="846">
        <v>1</v>
      </c>
      <c r="AO51" s="852"/>
      <c r="AP51" s="852"/>
      <c r="AQ51" s="852">
        <v>1</v>
      </c>
      <c r="AR51" s="852"/>
      <c r="AS51" s="852">
        <v>2</v>
      </c>
      <c r="AT51" s="852"/>
      <c r="AU51" s="852"/>
      <c r="AV51" s="839">
        <f t="shared" si="7"/>
        <v>3</v>
      </c>
      <c r="AW51" s="534">
        <f t="shared" si="3"/>
        <v>6</v>
      </c>
      <c r="AX51" s="534">
        <f t="shared" si="8"/>
        <v>15</v>
      </c>
      <c r="AY51" s="534">
        <f>SUM(AH51:AQ51)</f>
        <v>4</v>
      </c>
      <c r="AZ51" s="534">
        <f t="shared" si="1"/>
        <v>4</v>
      </c>
      <c r="BA51" s="197" t="str">
        <f t="shared" ca="1" si="6"/>
        <v>3nam,7thang,20ngay.</v>
      </c>
    </row>
    <row r="52" spans="1:53" s="197" customFormat="1" ht="18" customHeight="1" x14ac:dyDescent="0.25">
      <c r="A52" s="423">
        <f t="shared" si="2"/>
        <v>49</v>
      </c>
      <c r="B52" s="533" t="s">
        <v>616</v>
      </c>
      <c r="C52" s="607">
        <v>42419</v>
      </c>
      <c r="D52" s="602"/>
      <c r="E52" s="602"/>
      <c r="F52" s="602"/>
      <c r="G52" s="602"/>
      <c r="H52" s="602"/>
      <c r="I52" s="602"/>
      <c r="J52" s="602"/>
      <c r="K52" s="602"/>
      <c r="L52" s="602"/>
      <c r="M52" s="602"/>
      <c r="N52" s="602"/>
      <c r="O52" s="603"/>
      <c r="P52" s="535"/>
      <c r="Q52" s="535">
        <v>1</v>
      </c>
      <c r="R52" s="535"/>
      <c r="S52" s="535">
        <v>1</v>
      </c>
      <c r="T52" s="535">
        <v>1</v>
      </c>
      <c r="U52" s="535">
        <v>3</v>
      </c>
      <c r="V52" s="535">
        <v>3</v>
      </c>
      <c r="W52" s="580">
        <v>2</v>
      </c>
      <c r="X52" s="535">
        <v>1</v>
      </c>
      <c r="Y52" s="535"/>
      <c r="Z52" s="535">
        <v>1</v>
      </c>
      <c r="AA52" s="536"/>
      <c r="AB52" s="682">
        <v>1</v>
      </c>
      <c r="AC52" s="682">
        <v>1</v>
      </c>
      <c r="AD52" s="682"/>
      <c r="AE52" s="682">
        <v>2</v>
      </c>
      <c r="AF52" s="682">
        <v>1</v>
      </c>
      <c r="AG52" s="682">
        <v>2</v>
      </c>
      <c r="AH52" s="682">
        <v>1</v>
      </c>
      <c r="AI52" s="683"/>
      <c r="AJ52" s="682">
        <v>2</v>
      </c>
      <c r="AK52" s="682">
        <v>1</v>
      </c>
      <c r="AL52" s="831"/>
      <c r="AM52" s="845">
        <v>1</v>
      </c>
      <c r="AN52" s="846"/>
      <c r="AO52" s="852"/>
      <c r="AP52" s="852"/>
      <c r="AQ52" s="852"/>
      <c r="AR52" s="852"/>
      <c r="AS52" s="852"/>
      <c r="AT52" s="852">
        <v>1</v>
      </c>
      <c r="AU52" s="852">
        <v>2</v>
      </c>
      <c r="AV52" s="839">
        <f t="shared" si="7"/>
        <v>6</v>
      </c>
      <c r="AW52" s="534">
        <f t="shared" si="3"/>
        <v>14</v>
      </c>
      <c r="AX52" s="534">
        <f t="shared" si="8"/>
        <v>25</v>
      </c>
      <c r="AY52" s="534">
        <f>SUM(AG52:AM52)</f>
        <v>7</v>
      </c>
      <c r="AZ52" s="534">
        <f t="shared" si="1"/>
        <v>3</v>
      </c>
      <c r="BA52" s="197" t="str">
        <f t="shared" ca="1" si="6"/>
        <v>3nam,7thang,20ngay.</v>
      </c>
    </row>
    <row r="53" spans="1:53" s="197" customFormat="1" ht="18" customHeight="1" x14ac:dyDescent="0.25">
      <c r="A53" s="423">
        <f t="shared" si="2"/>
        <v>50</v>
      </c>
      <c r="B53" s="533" t="s">
        <v>617</v>
      </c>
      <c r="C53" s="607">
        <v>42420</v>
      </c>
      <c r="D53" s="602"/>
      <c r="E53" s="602"/>
      <c r="F53" s="602"/>
      <c r="G53" s="602"/>
      <c r="H53" s="602"/>
      <c r="I53" s="602"/>
      <c r="J53" s="602"/>
      <c r="K53" s="602"/>
      <c r="L53" s="602"/>
      <c r="M53" s="602"/>
      <c r="N53" s="602"/>
      <c r="O53" s="603"/>
      <c r="P53" s="535"/>
      <c r="Q53" s="535"/>
      <c r="R53" s="535"/>
      <c r="S53" s="535"/>
      <c r="T53" s="535">
        <v>1</v>
      </c>
      <c r="U53" s="535"/>
      <c r="V53" s="535"/>
      <c r="W53" s="580">
        <v>2</v>
      </c>
      <c r="X53" s="535"/>
      <c r="Y53" s="535">
        <v>1</v>
      </c>
      <c r="Z53" s="535"/>
      <c r="AA53" s="536"/>
      <c r="AB53" s="682"/>
      <c r="AC53" s="682"/>
      <c r="AD53" s="682"/>
      <c r="AE53" s="682"/>
      <c r="AF53" s="682">
        <v>1</v>
      </c>
      <c r="AG53" s="682"/>
      <c r="AH53" s="682">
        <v>1</v>
      </c>
      <c r="AI53" s="683"/>
      <c r="AJ53" s="682"/>
      <c r="AK53" s="682">
        <v>1</v>
      </c>
      <c r="AL53" s="831"/>
      <c r="AM53" s="845"/>
      <c r="AN53" s="846"/>
      <c r="AO53" s="852"/>
      <c r="AP53" s="852">
        <v>1</v>
      </c>
      <c r="AQ53" s="852"/>
      <c r="AR53" s="852">
        <v>2</v>
      </c>
      <c r="AS53" s="852">
        <v>2</v>
      </c>
      <c r="AT53" s="852">
        <v>1</v>
      </c>
      <c r="AU53" s="852"/>
      <c r="AV53" s="839">
        <f>SUM(D53:U53)</f>
        <v>1</v>
      </c>
      <c r="AW53" s="534">
        <f>SUM(V53:AG53)</f>
        <v>4</v>
      </c>
      <c r="AX53" s="534">
        <f t="shared" si="8"/>
        <v>13</v>
      </c>
      <c r="AY53" s="534">
        <f>SUM(AH53:AP53)</f>
        <v>3</v>
      </c>
      <c r="AZ53" s="534">
        <f t="shared" si="1"/>
        <v>6</v>
      </c>
      <c r="BA53" s="197" t="str">
        <f t="shared" ca="1" si="6"/>
        <v>3nam,7thang,19ngay.</v>
      </c>
    </row>
    <row r="54" spans="1:53" s="197" customFormat="1" ht="18" customHeight="1" x14ac:dyDescent="0.25">
      <c r="A54" s="423">
        <f t="shared" si="2"/>
        <v>51</v>
      </c>
      <c r="B54" s="533" t="s">
        <v>619</v>
      </c>
      <c r="C54" s="607">
        <v>42422</v>
      </c>
      <c r="D54" s="602"/>
      <c r="E54" s="602"/>
      <c r="F54" s="602"/>
      <c r="G54" s="602"/>
      <c r="H54" s="602"/>
      <c r="I54" s="602"/>
      <c r="J54" s="602"/>
      <c r="K54" s="602"/>
      <c r="L54" s="602"/>
      <c r="M54" s="602"/>
      <c r="N54" s="602"/>
      <c r="O54" s="603"/>
      <c r="P54" s="535"/>
      <c r="Q54" s="535">
        <v>1</v>
      </c>
      <c r="R54" s="535">
        <v>1</v>
      </c>
      <c r="S54" s="535"/>
      <c r="T54" s="535">
        <v>2</v>
      </c>
      <c r="U54" s="535">
        <v>1</v>
      </c>
      <c r="V54" s="535">
        <v>1</v>
      </c>
      <c r="W54" s="580">
        <v>3</v>
      </c>
      <c r="X54" s="535">
        <v>1</v>
      </c>
      <c r="Y54" s="535">
        <v>1</v>
      </c>
      <c r="Z54" s="535">
        <v>1</v>
      </c>
      <c r="AA54" s="536">
        <v>1</v>
      </c>
      <c r="AB54" s="682">
        <v>1</v>
      </c>
      <c r="AC54" s="682"/>
      <c r="AD54" s="682">
        <v>1</v>
      </c>
      <c r="AE54" s="682">
        <v>1</v>
      </c>
      <c r="AF54" s="682"/>
      <c r="AG54" s="682">
        <v>1</v>
      </c>
      <c r="AH54" s="682"/>
      <c r="AI54" s="683"/>
      <c r="AJ54" s="682"/>
      <c r="AK54" s="682"/>
      <c r="AL54" s="831"/>
      <c r="AM54" s="845"/>
      <c r="AN54" s="846"/>
      <c r="AO54" s="852">
        <v>1</v>
      </c>
      <c r="AP54" s="852">
        <v>3</v>
      </c>
      <c r="AQ54" s="852">
        <v>4</v>
      </c>
      <c r="AR54" s="852"/>
      <c r="AS54" s="852"/>
      <c r="AT54" s="852"/>
      <c r="AU54" s="852">
        <v>1</v>
      </c>
      <c r="AV54" s="839">
        <f t="shared" si="7"/>
        <v>5</v>
      </c>
      <c r="AW54" s="534">
        <f>SUM(V54:AG54)</f>
        <v>12</v>
      </c>
      <c r="AX54" s="534">
        <f t="shared" si="8"/>
        <v>25</v>
      </c>
      <c r="AY54" s="534">
        <f>SUM(AH54:AQ54)</f>
        <v>8</v>
      </c>
      <c r="AZ54" s="534">
        <f t="shared" si="1"/>
        <v>9</v>
      </c>
      <c r="BA54" s="197" t="str">
        <f t="shared" ca="1" si="6"/>
        <v>3nam,7thang,17ngay.</v>
      </c>
    </row>
    <row r="55" spans="1:53" s="197" customFormat="1" ht="18" customHeight="1" x14ac:dyDescent="0.25">
      <c r="A55" s="423">
        <f t="shared" si="2"/>
        <v>52</v>
      </c>
      <c r="B55" s="533" t="s">
        <v>620</v>
      </c>
      <c r="C55" s="607">
        <v>42422</v>
      </c>
      <c r="D55" s="602"/>
      <c r="E55" s="602"/>
      <c r="F55" s="602"/>
      <c r="G55" s="602"/>
      <c r="H55" s="602"/>
      <c r="I55" s="602"/>
      <c r="J55" s="602"/>
      <c r="K55" s="602"/>
      <c r="L55" s="602"/>
      <c r="M55" s="602"/>
      <c r="N55" s="602"/>
      <c r="O55" s="603"/>
      <c r="P55" s="535"/>
      <c r="Q55" s="535"/>
      <c r="R55" s="535"/>
      <c r="S55" s="535">
        <v>1</v>
      </c>
      <c r="T55" s="535"/>
      <c r="U55" s="535"/>
      <c r="V55" s="535">
        <v>3</v>
      </c>
      <c r="W55" s="580"/>
      <c r="X55" s="535"/>
      <c r="Y55" s="535">
        <v>2</v>
      </c>
      <c r="Z55" s="535">
        <v>1</v>
      </c>
      <c r="AA55" s="536"/>
      <c r="AB55" s="682"/>
      <c r="AC55" s="682"/>
      <c r="AD55" s="682"/>
      <c r="AE55" s="682"/>
      <c r="AF55" s="682"/>
      <c r="AG55" s="682"/>
      <c r="AH55" s="682"/>
      <c r="AI55" s="683"/>
      <c r="AJ55" s="682"/>
      <c r="AK55" s="682"/>
      <c r="AL55" s="831"/>
      <c r="AM55" s="845">
        <v>1</v>
      </c>
      <c r="AN55" s="846"/>
      <c r="AO55" s="852"/>
      <c r="AP55" s="852">
        <v>1</v>
      </c>
      <c r="AQ55" s="852">
        <v>3</v>
      </c>
      <c r="AR55" s="852"/>
      <c r="AS55" s="852">
        <v>2</v>
      </c>
      <c r="AT55" s="852"/>
      <c r="AU55" s="852"/>
      <c r="AV55" s="839">
        <f t="shared" si="7"/>
        <v>1</v>
      </c>
      <c r="AW55" s="534">
        <f t="shared" si="3"/>
        <v>6</v>
      </c>
      <c r="AX55" s="534">
        <f t="shared" si="8"/>
        <v>11</v>
      </c>
      <c r="AY55" s="534">
        <f>SUM(AG55:AQ55)</f>
        <v>5</v>
      </c>
      <c r="AZ55" s="534">
        <f t="shared" si="1"/>
        <v>6</v>
      </c>
      <c r="BA55" s="197" t="str">
        <f t="shared" ca="1" si="6"/>
        <v>3nam,7thang,17ngay.</v>
      </c>
    </row>
    <row r="56" spans="1:53" s="197" customFormat="1" ht="18" customHeight="1" x14ac:dyDescent="0.25">
      <c r="A56" s="423">
        <f t="shared" si="2"/>
        <v>53</v>
      </c>
      <c r="B56" s="533" t="s">
        <v>622</v>
      </c>
      <c r="C56" s="607">
        <v>42424</v>
      </c>
      <c r="D56" s="602"/>
      <c r="E56" s="602"/>
      <c r="F56" s="602"/>
      <c r="G56" s="602"/>
      <c r="H56" s="602"/>
      <c r="I56" s="602"/>
      <c r="J56" s="602"/>
      <c r="K56" s="602"/>
      <c r="L56" s="602"/>
      <c r="M56" s="602"/>
      <c r="N56" s="602"/>
      <c r="O56" s="603"/>
      <c r="P56" s="535"/>
      <c r="Q56" s="535">
        <v>2</v>
      </c>
      <c r="R56" s="535"/>
      <c r="S56" s="535">
        <v>1</v>
      </c>
      <c r="T56" s="535">
        <v>1</v>
      </c>
      <c r="U56" s="535">
        <v>1</v>
      </c>
      <c r="V56" s="535">
        <v>1</v>
      </c>
      <c r="W56" s="580"/>
      <c r="X56" s="535">
        <v>1</v>
      </c>
      <c r="Y56" s="535">
        <v>1</v>
      </c>
      <c r="Z56" s="535">
        <v>1</v>
      </c>
      <c r="AA56" s="536"/>
      <c r="AB56" s="682">
        <v>1</v>
      </c>
      <c r="AC56" s="682">
        <v>1</v>
      </c>
      <c r="AD56" s="682">
        <v>1</v>
      </c>
      <c r="AE56" s="682"/>
      <c r="AF56" s="682"/>
      <c r="AG56" s="682"/>
      <c r="AH56" s="682"/>
      <c r="AI56" s="683"/>
      <c r="AJ56" s="682"/>
      <c r="AK56" s="682">
        <v>1</v>
      </c>
      <c r="AL56" s="831">
        <v>1</v>
      </c>
      <c r="AM56" s="845"/>
      <c r="AN56" s="846">
        <v>1</v>
      </c>
      <c r="AO56" s="852"/>
      <c r="AP56" s="852">
        <v>2</v>
      </c>
      <c r="AQ56" s="852"/>
      <c r="AR56" s="852">
        <v>1</v>
      </c>
      <c r="AS56" s="852">
        <v>1</v>
      </c>
      <c r="AT56" s="852"/>
      <c r="AU56" s="852">
        <v>2</v>
      </c>
      <c r="AV56" s="839">
        <f t="shared" si="7"/>
        <v>5</v>
      </c>
      <c r="AW56" s="534">
        <f t="shared" si="3"/>
        <v>7</v>
      </c>
      <c r="AX56" s="534">
        <f t="shared" si="8"/>
        <v>20</v>
      </c>
      <c r="AY56" s="534">
        <f>SUM(AG56:AP56)</f>
        <v>5</v>
      </c>
      <c r="AZ56" s="534">
        <f t="shared" si="1"/>
        <v>7</v>
      </c>
      <c r="BA56" s="197" t="str">
        <f t="shared" ca="1" si="6"/>
        <v>3nam,7thang,15ngay.</v>
      </c>
    </row>
    <row r="57" spans="1:53" s="197" customFormat="1" ht="18" customHeight="1" x14ac:dyDescent="0.25">
      <c r="A57" s="423">
        <f t="shared" si="2"/>
        <v>54</v>
      </c>
      <c r="B57" s="533" t="s">
        <v>625</v>
      </c>
      <c r="C57" s="607">
        <v>42425</v>
      </c>
      <c r="D57" s="602"/>
      <c r="E57" s="602"/>
      <c r="F57" s="602"/>
      <c r="G57" s="602"/>
      <c r="H57" s="602"/>
      <c r="I57" s="602"/>
      <c r="J57" s="602"/>
      <c r="K57" s="602"/>
      <c r="L57" s="602"/>
      <c r="M57" s="602"/>
      <c r="N57" s="602"/>
      <c r="O57" s="603"/>
      <c r="P57" s="535"/>
      <c r="Q57" s="535">
        <v>2</v>
      </c>
      <c r="R57" s="535">
        <v>2</v>
      </c>
      <c r="S57" s="535">
        <v>1</v>
      </c>
      <c r="T57" s="535">
        <v>2</v>
      </c>
      <c r="U57" s="535">
        <v>1</v>
      </c>
      <c r="V57" s="535">
        <v>1</v>
      </c>
      <c r="W57" s="580">
        <v>2</v>
      </c>
      <c r="X57" s="535"/>
      <c r="Y57" s="535">
        <v>2</v>
      </c>
      <c r="Z57" s="535">
        <v>1</v>
      </c>
      <c r="AA57" s="536">
        <v>2</v>
      </c>
      <c r="AB57" s="682"/>
      <c r="AC57" s="682">
        <v>1</v>
      </c>
      <c r="AD57" s="682">
        <v>2</v>
      </c>
      <c r="AE57" s="682">
        <v>2</v>
      </c>
      <c r="AF57" s="682"/>
      <c r="AG57" s="682">
        <v>1</v>
      </c>
      <c r="AH57" s="682">
        <v>2</v>
      </c>
      <c r="AI57" s="683"/>
      <c r="AJ57" s="682">
        <v>5</v>
      </c>
      <c r="AK57" s="682"/>
      <c r="AL57" s="831"/>
      <c r="AM57" s="845"/>
      <c r="AN57" s="846"/>
      <c r="AO57" s="852"/>
      <c r="AP57" s="852"/>
      <c r="AQ57" s="852"/>
      <c r="AR57" s="852"/>
      <c r="AS57" s="852"/>
      <c r="AT57" s="852"/>
      <c r="AU57" s="852"/>
      <c r="AV57" s="839">
        <f t="shared" si="7"/>
        <v>8</v>
      </c>
      <c r="AW57" s="534">
        <f>SUM(V57:AF57)</f>
        <v>13</v>
      </c>
      <c r="AX57" s="534">
        <f t="shared" si="8"/>
        <v>28</v>
      </c>
      <c r="AY57" s="534">
        <f>SUM(AG57:AM57)</f>
        <v>8</v>
      </c>
      <c r="AZ57" s="534">
        <f t="shared" si="1"/>
        <v>0</v>
      </c>
      <c r="BA57" s="197" t="str">
        <f t="shared" ca="1" si="6"/>
        <v>3nam,7thang,14ngay.</v>
      </c>
    </row>
    <row r="58" spans="1:53" s="197" customFormat="1" ht="18" customHeight="1" x14ac:dyDescent="0.25">
      <c r="A58" s="423">
        <f t="shared" si="2"/>
        <v>55</v>
      </c>
      <c r="B58" s="533" t="s">
        <v>700</v>
      </c>
      <c r="C58" s="607">
        <v>42432</v>
      </c>
      <c r="D58" s="602"/>
      <c r="E58" s="602"/>
      <c r="F58" s="602"/>
      <c r="G58" s="602"/>
      <c r="H58" s="602"/>
      <c r="I58" s="602"/>
      <c r="J58" s="602"/>
      <c r="K58" s="602"/>
      <c r="L58" s="602"/>
      <c r="M58" s="602"/>
      <c r="N58" s="602"/>
      <c r="O58" s="603"/>
      <c r="P58" s="535"/>
      <c r="Q58" s="535"/>
      <c r="R58" s="535">
        <v>3</v>
      </c>
      <c r="S58" s="535"/>
      <c r="T58" s="535">
        <v>1</v>
      </c>
      <c r="U58" s="535"/>
      <c r="V58" s="535">
        <v>2</v>
      </c>
      <c r="W58" s="580">
        <v>2</v>
      </c>
      <c r="X58" s="535"/>
      <c r="Y58" s="535">
        <v>1</v>
      </c>
      <c r="Z58" s="535">
        <v>3</v>
      </c>
      <c r="AA58" s="536"/>
      <c r="AB58" s="682">
        <v>1</v>
      </c>
      <c r="AC58" s="682"/>
      <c r="AD58" s="682">
        <v>1</v>
      </c>
      <c r="AE58" s="682">
        <v>2</v>
      </c>
      <c r="AF58" s="682"/>
      <c r="AG58" s="682">
        <v>4</v>
      </c>
      <c r="AH58" s="682">
        <v>2</v>
      </c>
      <c r="AI58" s="683">
        <v>1</v>
      </c>
      <c r="AJ58" s="682"/>
      <c r="AK58" s="682">
        <v>1</v>
      </c>
      <c r="AL58" s="831"/>
      <c r="AM58" s="845">
        <v>1</v>
      </c>
      <c r="AN58" s="846"/>
      <c r="AO58" s="852"/>
      <c r="AP58" s="852"/>
      <c r="AQ58" s="852">
        <v>3</v>
      </c>
      <c r="AR58" s="852"/>
      <c r="AS58" s="852"/>
      <c r="AT58" s="852">
        <v>4</v>
      </c>
      <c r="AU58" s="852">
        <v>1</v>
      </c>
      <c r="AV58" s="839">
        <f t="shared" si="7"/>
        <v>4</v>
      </c>
      <c r="AW58" s="534">
        <f>SUM(V58:AF58)</f>
        <v>12</v>
      </c>
      <c r="AX58" s="534">
        <f t="shared" si="8"/>
        <v>31</v>
      </c>
      <c r="AY58" s="534">
        <f>SUM(AG58:AQ58)</f>
        <v>12</v>
      </c>
      <c r="AZ58" s="534">
        <f t="shared" si="1"/>
        <v>8</v>
      </c>
      <c r="BA58" s="197" t="str">
        <f t="shared" ca="1" si="6"/>
        <v>3nam,7thang,6ngay.</v>
      </c>
    </row>
    <row r="59" spans="1:53" s="197" customFormat="1" ht="18" customHeight="1" x14ac:dyDescent="0.25">
      <c r="A59" s="423">
        <f t="shared" si="2"/>
        <v>56</v>
      </c>
      <c r="B59" s="533" t="s">
        <v>701</v>
      </c>
      <c r="C59" s="607">
        <v>42432</v>
      </c>
      <c r="D59" s="602"/>
      <c r="E59" s="602"/>
      <c r="F59" s="602"/>
      <c r="G59" s="602"/>
      <c r="H59" s="602"/>
      <c r="I59" s="602"/>
      <c r="J59" s="602"/>
      <c r="K59" s="602"/>
      <c r="L59" s="602"/>
      <c r="M59" s="602"/>
      <c r="N59" s="602"/>
      <c r="O59" s="603"/>
      <c r="P59" s="535"/>
      <c r="Q59" s="535"/>
      <c r="R59" s="535">
        <v>1</v>
      </c>
      <c r="S59" s="535">
        <v>1</v>
      </c>
      <c r="T59" s="535">
        <v>1</v>
      </c>
      <c r="U59" s="535">
        <v>1</v>
      </c>
      <c r="V59" s="535">
        <v>3</v>
      </c>
      <c r="W59" s="580">
        <v>2</v>
      </c>
      <c r="X59" s="535">
        <v>1</v>
      </c>
      <c r="Y59" s="535">
        <v>1</v>
      </c>
      <c r="Z59" s="535">
        <v>1</v>
      </c>
      <c r="AA59" s="536">
        <v>1</v>
      </c>
      <c r="AB59" s="682"/>
      <c r="AC59" s="682"/>
      <c r="AD59" s="682">
        <v>1</v>
      </c>
      <c r="AE59" s="682">
        <v>1</v>
      </c>
      <c r="AF59" s="682"/>
      <c r="AG59" s="682">
        <v>1</v>
      </c>
      <c r="AH59" s="682">
        <v>1</v>
      </c>
      <c r="AI59" s="683">
        <v>2</v>
      </c>
      <c r="AJ59" s="682"/>
      <c r="AK59" s="682">
        <v>1</v>
      </c>
      <c r="AL59" s="831"/>
      <c r="AM59" s="845"/>
      <c r="AN59" s="846"/>
      <c r="AO59" s="852">
        <v>1</v>
      </c>
      <c r="AP59" s="852"/>
      <c r="AQ59" s="852"/>
      <c r="AR59" s="852"/>
      <c r="AS59" s="852"/>
      <c r="AT59" s="852">
        <v>4</v>
      </c>
      <c r="AU59" s="852">
        <v>1</v>
      </c>
      <c r="AV59" s="839">
        <f t="shared" si="7"/>
        <v>4</v>
      </c>
      <c r="AW59" s="534">
        <f t="shared" si="3"/>
        <v>12</v>
      </c>
      <c r="AX59" s="534">
        <f t="shared" si="8"/>
        <v>23</v>
      </c>
      <c r="AY59" s="534">
        <f>SUM(AH59:AO59)</f>
        <v>5</v>
      </c>
      <c r="AZ59" s="534">
        <f t="shared" si="1"/>
        <v>6</v>
      </c>
      <c r="BA59" s="197" t="str">
        <f t="shared" ca="1" si="6"/>
        <v>3nam,7thang,6ngay.</v>
      </c>
    </row>
    <row r="60" spans="1:53" s="197" customFormat="1" ht="18" customHeight="1" x14ac:dyDescent="0.25">
      <c r="A60" s="423">
        <f t="shared" si="2"/>
        <v>57</v>
      </c>
      <c r="B60" s="533" t="s">
        <v>728</v>
      </c>
      <c r="C60" s="608" t="s">
        <v>729</v>
      </c>
      <c r="D60" s="609"/>
      <c r="E60" s="609"/>
      <c r="F60" s="609"/>
      <c r="G60" s="609"/>
      <c r="H60" s="609"/>
      <c r="I60" s="609"/>
      <c r="J60" s="609"/>
      <c r="K60" s="609"/>
      <c r="L60" s="609"/>
      <c r="M60" s="609"/>
      <c r="N60" s="609"/>
      <c r="O60" s="610"/>
      <c r="P60" s="571"/>
      <c r="Q60" s="571"/>
      <c r="R60" s="571"/>
      <c r="S60" s="571"/>
      <c r="T60" s="571"/>
      <c r="U60" s="571">
        <v>1</v>
      </c>
      <c r="V60" s="571">
        <v>3</v>
      </c>
      <c r="W60" s="582">
        <v>3</v>
      </c>
      <c r="X60" s="571"/>
      <c r="Y60" s="571"/>
      <c r="Z60" s="571"/>
      <c r="AA60" s="572"/>
      <c r="AB60" s="686"/>
      <c r="AC60" s="686"/>
      <c r="AD60" s="686"/>
      <c r="AE60" s="686"/>
      <c r="AF60" s="686"/>
      <c r="AG60" s="686"/>
      <c r="AH60" s="686"/>
      <c r="AI60" s="687">
        <v>1</v>
      </c>
      <c r="AJ60" s="686"/>
      <c r="AK60" s="686">
        <v>1</v>
      </c>
      <c r="AL60" s="833">
        <v>1</v>
      </c>
      <c r="AM60" s="845"/>
      <c r="AN60" s="846">
        <v>1</v>
      </c>
      <c r="AO60" s="852"/>
      <c r="AP60" s="852"/>
      <c r="AQ60" s="852"/>
      <c r="AR60" s="852"/>
      <c r="AS60" s="852">
        <v>3</v>
      </c>
      <c r="AT60" s="852"/>
      <c r="AU60" s="852"/>
      <c r="AV60" s="839">
        <f t="shared" si="7"/>
        <v>1</v>
      </c>
      <c r="AW60" s="534">
        <f t="shared" si="3"/>
        <v>6</v>
      </c>
      <c r="AX60" s="534">
        <f t="shared" si="8"/>
        <v>11</v>
      </c>
      <c r="AY60" s="534">
        <f>SUM(AH60:AN60)</f>
        <v>4</v>
      </c>
      <c r="AZ60" s="534">
        <f t="shared" si="1"/>
        <v>4</v>
      </c>
      <c r="BA60" s="197" t="str">
        <f t="shared" ca="1" si="6"/>
        <v>3nam,4thang,8ngay.</v>
      </c>
    </row>
    <row r="61" spans="1:53" s="197" customFormat="1" ht="18" customHeight="1" x14ac:dyDescent="0.25">
      <c r="A61" s="423">
        <f t="shared" si="2"/>
        <v>58</v>
      </c>
      <c r="B61" s="533" t="s">
        <v>708</v>
      </c>
      <c r="C61" s="608">
        <v>42487</v>
      </c>
      <c r="D61" s="609"/>
      <c r="E61" s="609"/>
      <c r="F61" s="609"/>
      <c r="G61" s="609"/>
      <c r="H61" s="609"/>
      <c r="I61" s="609"/>
      <c r="J61" s="609"/>
      <c r="K61" s="609"/>
      <c r="L61" s="609"/>
      <c r="M61" s="609"/>
      <c r="N61" s="609"/>
      <c r="O61" s="610"/>
      <c r="P61" s="571"/>
      <c r="Q61" s="571"/>
      <c r="R61" s="571"/>
      <c r="S61" s="571"/>
      <c r="T61" s="571"/>
      <c r="U61" s="571"/>
      <c r="V61" s="571">
        <v>2</v>
      </c>
      <c r="W61" s="582">
        <v>2</v>
      </c>
      <c r="X61" s="571">
        <v>3</v>
      </c>
      <c r="Y61" s="571"/>
      <c r="Z61" s="571">
        <v>1</v>
      </c>
      <c r="AA61" s="572"/>
      <c r="AB61" s="686">
        <v>1</v>
      </c>
      <c r="AC61" s="686"/>
      <c r="AD61" s="686"/>
      <c r="AE61" s="686">
        <v>1</v>
      </c>
      <c r="AF61" s="686">
        <v>1</v>
      </c>
      <c r="AG61" s="686"/>
      <c r="AH61" s="686"/>
      <c r="AI61" s="687"/>
      <c r="AJ61" s="686"/>
      <c r="AK61" s="686"/>
      <c r="AL61" s="833"/>
      <c r="AM61" s="845"/>
      <c r="AN61" s="846"/>
      <c r="AO61" s="852"/>
      <c r="AP61" s="852"/>
      <c r="AQ61" s="852"/>
      <c r="AR61" s="852"/>
      <c r="AS61" s="852"/>
      <c r="AT61" s="852"/>
      <c r="AU61" s="852"/>
      <c r="AV61" s="839">
        <f t="shared" si="7"/>
        <v>0</v>
      </c>
      <c r="AW61" s="534">
        <f t="shared" si="3"/>
        <v>11</v>
      </c>
      <c r="AX61" s="534">
        <f t="shared" si="8"/>
        <v>9</v>
      </c>
      <c r="AY61" s="534">
        <f>SUM(AH61:AM61)</f>
        <v>0</v>
      </c>
      <c r="AZ61" s="534">
        <f t="shared" si="1"/>
        <v>0</v>
      </c>
      <c r="BA61" s="197" t="str">
        <f t="shared" ca="1" si="6"/>
        <v>3nam,5thang,12ngay.</v>
      </c>
    </row>
    <row r="62" spans="1:53" s="197" customFormat="1" ht="18" customHeight="1" x14ac:dyDescent="0.25">
      <c r="A62" s="423">
        <f t="shared" si="2"/>
        <v>59</v>
      </c>
      <c r="B62" s="533" t="s">
        <v>714</v>
      </c>
      <c r="C62" s="608" t="s">
        <v>729</v>
      </c>
      <c r="D62" s="609"/>
      <c r="E62" s="609"/>
      <c r="F62" s="609"/>
      <c r="G62" s="609"/>
      <c r="H62" s="609"/>
      <c r="I62" s="609"/>
      <c r="J62" s="609"/>
      <c r="K62" s="609"/>
      <c r="L62" s="609"/>
      <c r="M62" s="609"/>
      <c r="N62" s="609"/>
      <c r="O62" s="610"/>
      <c r="P62" s="571"/>
      <c r="Q62" s="571"/>
      <c r="R62" s="571"/>
      <c r="S62" s="571"/>
      <c r="T62" s="571"/>
      <c r="U62" s="571">
        <v>3</v>
      </c>
      <c r="V62" s="571">
        <v>2</v>
      </c>
      <c r="W62" s="582">
        <v>3</v>
      </c>
      <c r="X62" s="571">
        <v>2</v>
      </c>
      <c r="Y62" s="571"/>
      <c r="Z62" s="571"/>
      <c r="AA62" s="572">
        <v>1</v>
      </c>
      <c r="AB62" s="686"/>
      <c r="AC62" s="686"/>
      <c r="AD62" s="686">
        <v>1</v>
      </c>
      <c r="AE62" s="686"/>
      <c r="AF62" s="686">
        <v>3</v>
      </c>
      <c r="AG62" s="686">
        <v>1</v>
      </c>
      <c r="AH62" s="686">
        <v>1</v>
      </c>
      <c r="AI62" s="687">
        <v>6</v>
      </c>
      <c r="AJ62" s="686"/>
      <c r="AK62" s="686">
        <v>1</v>
      </c>
      <c r="AL62" s="833">
        <v>1</v>
      </c>
      <c r="AM62" s="845">
        <v>1</v>
      </c>
      <c r="AN62" s="846">
        <v>1</v>
      </c>
      <c r="AO62" s="852">
        <v>3</v>
      </c>
      <c r="AP62" s="852">
        <v>3</v>
      </c>
      <c r="AQ62" s="852">
        <v>2</v>
      </c>
      <c r="AR62" s="852"/>
      <c r="AS62" s="852"/>
      <c r="AT62" s="852"/>
      <c r="AU62" s="852">
        <v>1</v>
      </c>
      <c r="AV62" s="839">
        <f t="shared" si="7"/>
        <v>3</v>
      </c>
      <c r="AW62" s="534">
        <f>SUM(V62:AF62)</f>
        <v>12</v>
      </c>
      <c r="AX62" s="534">
        <f t="shared" si="8"/>
        <v>34</v>
      </c>
      <c r="AY62" s="534">
        <f>SUM(AG62:AM62)</f>
        <v>11</v>
      </c>
      <c r="AZ62" s="534">
        <f t="shared" si="1"/>
        <v>10</v>
      </c>
      <c r="BA62" s="197" t="str">
        <f t="shared" ca="1" si="6"/>
        <v>3nam,4thang,8ngay.</v>
      </c>
    </row>
    <row r="63" spans="1:53" s="197" customFormat="1" ht="18" customHeight="1" x14ac:dyDescent="0.25">
      <c r="A63" s="423">
        <f t="shared" si="2"/>
        <v>60</v>
      </c>
      <c r="B63" s="533" t="s">
        <v>719</v>
      </c>
      <c r="C63" s="608" t="s">
        <v>729</v>
      </c>
      <c r="D63" s="609"/>
      <c r="E63" s="609"/>
      <c r="F63" s="609"/>
      <c r="G63" s="609"/>
      <c r="H63" s="609"/>
      <c r="I63" s="609"/>
      <c r="J63" s="609"/>
      <c r="K63" s="609"/>
      <c r="L63" s="609"/>
      <c r="M63" s="609"/>
      <c r="N63" s="609"/>
      <c r="O63" s="610"/>
      <c r="P63" s="571"/>
      <c r="Q63" s="571"/>
      <c r="R63" s="571"/>
      <c r="S63" s="571"/>
      <c r="T63" s="571"/>
      <c r="U63" s="571">
        <v>2</v>
      </c>
      <c r="V63" s="571"/>
      <c r="W63" s="582"/>
      <c r="X63" s="571">
        <v>1</v>
      </c>
      <c r="Y63" s="571"/>
      <c r="Z63" s="571">
        <v>1</v>
      </c>
      <c r="AA63" s="572"/>
      <c r="AB63" s="686"/>
      <c r="AC63" s="686"/>
      <c r="AD63" s="686">
        <v>3</v>
      </c>
      <c r="AE63" s="686"/>
      <c r="AF63" s="686">
        <v>1</v>
      </c>
      <c r="AG63" s="686">
        <v>2</v>
      </c>
      <c r="AH63" s="686"/>
      <c r="AI63" s="687">
        <v>1</v>
      </c>
      <c r="AJ63" s="686"/>
      <c r="AK63" s="686">
        <v>1</v>
      </c>
      <c r="AL63" s="833"/>
      <c r="AM63" s="845">
        <v>2</v>
      </c>
      <c r="AN63" s="846"/>
      <c r="AO63" s="852"/>
      <c r="AP63" s="852"/>
      <c r="AQ63" s="852"/>
      <c r="AR63" s="852">
        <v>1</v>
      </c>
      <c r="AS63" s="852">
        <v>1</v>
      </c>
      <c r="AT63" s="852">
        <v>1</v>
      </c>
      <c r="AU63" s="852"/>
      <c r="AV63" s="839">
        <f t="shared" si="7"/>
        <v>2</v>
      </c>
      <c r="AW63" s="534">
        <f t="shared" si="3"/>
        <v>8</v>
      </c>
      <c r="AX63" s="534">
        <f t="shared" si="8"/>
        <v>17</v>
      </c>
      <c r="AY63" s="534">
        <f>SUM(AH63:AP63)</f>
        <v>4</v>
      </c>
      <c r="AZ63" s="534">
        <f t="shared" si="1"/>
        <v>3</v>
      </c>
      <c r="BA63" s="197" t="str">
        <f t="shared" ca="1" si="6"/>
        <v>3nam,4thang,8ngay.</v>
      </c>
    </row>
    <row r="64" spans="1:53" s="737" customFormat="1" ht="18" customHeight="1" x14ac:dyDescent="0.25">
      <c r="A64" s="725">
        <f t="shared" si="2"/>
        <v>61</v>
      </c>
      <c r="B64" s="732" t="s">
        <v>715</v>
      </c>
      <c r="C64" s="733" t="s">
        <v>730</v>
      </c>
      <c r="D64" s="734"/>
      <c r="E64" s="734"/>
      <c r="F64" s="734"/>
      <c r="G64" s="734"/>
      <c r="H64" s="734"/>
      <c r="I64" s="734"/>
      <c r="J64" s="734"/>
      <c r="K64" s="734"/>
      <c r="L64" s="734"/>
      <c r="M64" s="734"/>
      <c r="N64" s="734"/>
      <c r="O64" s="735"/>
      <c r="P64" s="734"/>
      <c r="Q64" s="734"/>
      <c r="R64" s="734"/>
      <c r="S64" s="734"/>
      <c r="T64" s="734"/>
      <c r="U64" s="734">
        <v>3</v>
      </c>
      <c r="V64" s="734">
        <v>2</v>
      </c>
      <c r="W64" s="736">
        <v>3</v>
      </c>
      <c r="X64" s="734">
        <v>2</v>
      </c>
      <c r="Y64" s="734">
        <v>1</v>
      </c>
      <c r="Z64" s="734">
        <v>2</v>
      </c>
      <c r="AA64" s="735">
        <v>1</v>
      </c>
      <c r="AB64" s="734"/>
      <c r="AC64" s="734"/>
      <c r="AD64" s="734"/>
      <c r="AE64" s="734"/>
      <c r="AF64" s="734"/>
      <c r="AG64" s="734"/>
      <c r="AH64" s="734"/>
      <c r="AI64" s="736"/>
      <c r="AJ64" s="734"/>
      <c r="AK64" s="734"/>
      <c r="AL64" s="834"/>
      <c r="AM64" s="849"/>
      <c r="AN64" s="846"/>
      <c r="AO64" s="852"/>
      <c r="AP64" s="852"/>
      <c r="AQ64" s="852"/>
      <c r="AR64" s="852"/>
      <c r="AS64" s="852"/>
      <c r="AT64" s="852"/>
      <c r="AU64" s="852"/>
      <c r="AV64" s="841">
        <f>SUM(D64:U64)</f>
        <v>3</v>
      </c>
      <c r="AW64" s="729">
        <f>SUM(V64:AG64)</f>
        <v>11</v>
      </c>
      <c r="AX64" s="729">
        <f t="shared" si="8"/>
        <v>12</v>
      </c>
      <c r="AY64" s="729"/>
      <c r="AZ64" s="534">
        <f t="shared" si="1"/>
        <v>0</v>
      </c>
      <c r="BA64" s="737" t="str">
        <f t="shared" ca="1" si="6"/>
        <v>3nam,4thang,2ngay.</v>
      </c>
    </row>
    <row r="65" spans="1:53" s="197" customFormat="1" ht="18" customHeight="1" x14ac:dyDescent="0.25">
      <c r="A65" s="423">
        <f t="shared" si="2"/>
        <v>62</v>
      </c>
      <c r="B65" s="533" t="s">
        <v>716</v>
      </c>
      <c r="C65" s="608" t="s">
        <v>730</v>
      </c>
      <c r="D65" s="609"/>
      <c r="E65" s="609"/>
      <c r="F65" s="609"/>
      <c r="G65" s="609"/>
      <c r="H65" s="609"/>
      <c r="I65" s="609"/>
      <c r="J65" s="609"/>
      <c r="K65" s="609"/>
      <c r="L65" s="609"/>
      <c r="M65" s="609"/>
      <c r="N65" s="609"/>
      <c r="O65" s="610"/>
      <c r="P65" s="571"/>
      <c r="Q65" s="571"/>
      <c r="R65" s="571"/>
      <c r="S65" s="571"/>
      <c r="T65" s="571"/>
      <c r="U65" s="571">
        <v>2</v>
      </c>
      <c r="V65" s="571">
        <v>2</v>
      </c>
      <c r="W65" s="582">
        <v>1</v>
      </c>
      <c r="X65" s="571">
        <v>3</v>
      </c>
      <c r="Y65" s="571">
        <v>1</v>
      </c>
      <c r="Z65" s="571">
        <v>1</v>
      </c>
      <c r="AA65" s="572">
        <v>1</v>
      </c>
      <c r="AB65" s="686">
        <v>1</v>
      </c>
      <c r="AC65" s="686">
        <v>1</v>
      </c>
      <c r="AD65" s="686">
        <v>1</v>
      </c>
      <c r="AE65" s="686">
        <v>1</v>
      </c>
      <c r="AF65" s="686">
        <v>1</v>
      </c>
      <c r="AG65" s="686">
        <v>6</v>
      </c>
      <c r="AH65" s="686">
        <v>1</v>
      </c>
      <c r="AI65" s="687">
        <v>2</v>
      </c>
      <c r="AJ65" s="686"/>
      <c r="AK65" s="686">
        <v>1</v>
      </c>
      <c r="AL65" s="833"/>
      <c r="AM65" s="845"/>
      <c r="AN65" s="846"/>
      <c r="AO65" s="852"/>
      <c r="AP65" s="852"/>
      <c r="AQ65" s="852"/>
      <c r="AR65" s="852">
        <v>2</v>
      </c>
      <c r="AS65" s="852">
        <v>1</v>
      </c>
      <c r="AT65" s="852"/>
      <c r="AU65" s="852"/>
      <c r="AV65" s="839">
        <f t="shared" si="7"/>
        <v>2</v>
      </c>
      <c r="AW65" s="534">
        <f>SUM(V65:AD65)</f>
        <v>12</v>
      </c>
      <c r="AX65" s="534">
        <f t="shared" si="8"/>
        <v>27</v>
      </c>
      <c r="AY65" s="534">
        <f>SUM(AE65:AM65)</f>
        <v>12</v>
      </c>
      <c r="AZ65" s="534">
        <f t="shared" si="1"/>
        <v>3</v>
      </c>
      <c r="BA65" s="197" t="str">
        <f t="shared" ca="1" si="6"/>
        <v>3nam,4thang,2ngay.</v>
      </c>
    </row>
    <row r="66" spans="1:53" s="197" customFormat="1" ht="18" customHeight="1" x14ac:dyDescent="0.25">
      <c r="A66" s="423">
        <f t="shared" si="2"/>
        <v>63</v>
      </c>
      <c r="B66" s="533" t="s">
        <v>717</v>
      </c>
      <c r="C66" s="608" t="s">
        <v>731</v>
      </c>
      <c r="D66" s="609"/>
      <c r="E66" s="609"/>
      <c r="F66" s="609"/>
      <c r="G66" s="609"/>
      <c r="H66" s="609"/>
      <c r="I66" s="609"/>
      <c r="J66" s="609"/>
      <c r="K66" s="609"/>
      <c r="L66" s="609"/>
      <c r="M66" s="609"/>
      <c r="N66" s="609"/>
      <c r="O66" s="610"/>
      <c r="P66" s="571"/>
      <c r="Q66" s="571"/>
      <c r="R66" s="571"/>
      <c r="S66" s="571"/>
      <c r="T66" s="571"/>
      <c r="U66" s="571"/>
      <c r="V66" s="571">
        <v>1</v>
      </c>
      <c r="W66" s="582"/>
      <c r="X66" s="571"/>
      <c r="Y66" s="571">
        <v>1</v>
      </c>
      <c r="Z66" s="571">
        <v>1</v>
      </c>
      <c r="AA66" s="572"/>
      <c r="AB66" s="686"/>
      <c r="AC66" s="686"/>
      <c r="AD66" s="686">
        <v>1</v>
      </c>
      <c r="AE66" s="686"/>
      <c r="AF66" s="686"/>
      <c r="AG66" s="686"/>
      <c r="AH66" s="686"/>
      <c r="AI66" s="687">
        <v>1</v>
      </c>
      <c r="AJ66" s="686">
        <v>1</v>
      </c>
      <c r="AK66" s="686"/>
      <c r="AL66" s="833"/>
      <c r="AM66" s="845">
        <v>1</v>
      </c>
      <c r="AN66" s="846"/>
      <c r="AO66" s="852"/>
      <c r="AP66" s="852"/>
      <c r="AQ66" s="852">
        <v>2</v>
      </c>
      <c r="AR66" s="852"/>
      <c r="AS66" s="852">
        <v>1</v>
      </c>
      <c r="AT66" s="852"/>
      <c r="AU66" s="852">
        <v>1</v>
      </c>
      <c r="AV66" s="839">
        <f t="shared" si="7"/>
        <v>0</v>
      </c>
      <c r="AW66" s="534">
        <f t="shared" si="3"/>
        <v>4</v>
      </c>
      <c r="AX66" s="534">
        <f t="shared" si="8"/>
        <v>10</v>
      </c>
      <c r="AY66" s="534">
        <f>SUM(AH66:AR66)</f>
        <v>5</v>
      </c>
      <c r="AZ66" s="534">
        <f t="shared" si="1"/>
        <v>4</v>
      </c>
      <c r="BA66" s="197" t="str">
        <f t="shared" ca="1" si="6"/>
        <v>3nam,4thang,1ngay.</v>
      </c>
    </row>
    <row r="67" spans="1:53" s="197" customFormat="1" ht="18" customHeight="1" x14ac:dyDescent="0.25">
      <c r="A67" s="423">
        <f t="shared" si="2"/>
        <v>64</v>
      </c>
      <c r="B67" s="533" t="s">
        <v>702</v>
      </c>
      <c r="C67" s="607">
        <v>42443</v>
      </c>
      <c r="D67" s="611"/>
      <c r="E67" s="611"/>
      <c r="F67" s="611"/>
      <c r="G67" s="611"/>
      <c r="H67" s="611"/>
      <c r="I67" s="611"/>
      <c r="J67" s="611"/>
      <c r="K67" s="611"/>
      <c r="L67" s="611"/>
      <c r="M67" s="611"/>
      <c r="N67" s="611"/>
      <c r="O67" s="612"/>
      <c r="P67" s="546"/>
      <c r="Q67" s="546"/>
      <c r="R67" s="546">
        <v>1</v>
      </c>
      <c r="S67" s="546"/>
      <c r="T67" s="546">
        <v>2</v>
      </c>
      <c r="U67" s="546">
        <v>2</v>
      </c>
      <c r="V67" s="546">
        <v>3</v>
      </c>
      <c r="W67" s="583">
        <v>2</v>
      </c>
      <c r="X67" s="546">
        <v>1</v>
      </c>
      <c r="Y67" s="546">
        <v>2</v>
      </c>
      <c r="Z67" s="546">
        <v>1</v>
      </c>
      <c r="AA67" s="547"/>
      <c r="AB67" s="688">
        <v>2</v>
      </c>
      <c r="AC67" s="688"/>
      <c r="AD67" s="688"/>
      <c r="AE67" s="688"/>
      <c r="AF67" s="688"/>
      <c r="AG67" s="688">
        <v>2</v>
      </c>
      <c r="AH67" s="688"/>
      <c r="AI67" s="689">
        <v>1</v>
      </c>
      <c r="AJ67" s="688">
        <v>3</v>
      </c>
      <c r="AK67" s="688">
        <v>2</v>
      </c>
      <c r="AL67" s="835"/>
      <c r="AM67" s="845">
        <v>4</v>
      </c>
      <c r="AN67" s="846"/>
      <c r="AO67" s="852"/>
      <c r="AP67" s="852"/>
      <c r="AQ67" s="852"/>
      <c r="AR67" s="852"/>
      <c r="AS67" s="852"/>
      <c r="AT67" s="852"/>
      <c r="AU67" s="852"/>
      <c r="AV67" s="839">
        <f t="shared" si="7"/>
        <v>5</v>
      </c>
      <c r="AW67" s="534">
        <f t="shared" si="3"/>
        <v>13</v>
      </c>
      <c r="AX67" s="534">
        <f t="shared" si="8"/>
        <v>25</v>
      </c>
      <c r="AY67" s="534">
        <f>SUM(AH67:AM67)</f>
        <v>10</v>
      </c>
      <c r="AZ67" s="534">
        <f t="shared" si="1"/>
        <v>0</v>
      </c>
      <c r="BA67" s="197" t="str">
        <f t="shared" ca="1" si="6"/>
        <v>3nam,6thang,25ngay.</v>
      </c>
    </row>
    <row r="68" spans="1:53" ht="18" customHeight="1" x14ac:dyDescent="0.25">
      <c r="A68" s="423">
        <f t="shared" si="2"/>
        <v>65</v>
      </c>
      <c r="B68" s="904" t="s">
        <v>742</v>
      </c>
      <c r="C68" s="613">
        <v>42731</v>
      </c>
      <c r="D68" s="614"/>
      <c r="E68" s="614"/>
      <c r="F68" s="614"/>
      <c r="G68" s="614"/>
      <c r="H68" s="614"/>
      <c r="I68" s="614"/>
      <c r="J68" s="614"/>
      <c r="K68" s="614"/>
      <c r="L68" s="614"/>
      <c r="M68" s="614"/>
      <c r="N68" s="614"/>
      <c r="O68" s="615"/>
      <c r="P68" s="428"/>
      <c r="Q68" s="428"/>
      <c r="R68" s="428"/>
      <c r="S68" s="428"/>
      <c r="T68" s="428"/>
      <c r="U68" s="428"/>
      <c r="V68" s="428"/>
      <c r="W68" s="584"/>
      <c r="X68" s="428"/>
      <c r="Y68" s="428"/>
      <c r="Z68" s="428"/>
      <c r="AA68" s="429"/>
      <c r="AB68" s="690"/>
      <c r="AC68" s="690"/>
      <c r="AD68" s="690"/>
      <c r="AE68" s="690"/>
      <c r="AF68" s="690">
        <v>1</v>
      </c>
      <c r="AG68" s="690"/>
      <c r="AH68" s="690"/>
      <c r="AI68" s="691"/>
      <c r="AJ68" s="690"/>
      <c r="AK68" s="690">
        <v>1</v>
      </c>
      <c r="AL68" s="836">
        <v>1</v>
      </c>
      <c r="AM68" s="850">
        <v>1</v>
      </c>
      <c r="AN68" s="851">
        <v>2</v>
      </c>
      <c r="AO68" s="829">
        <v>2</v>
      </c>
      <c r="AP68" s="829"/>
      <c r="AQ68" s="829">
        <v>1</v>
      </c>
      <c r="AR68" s="829"/>
      <c r="AS68" s="829">
        <v>1</v>
      </c>
      <c r="AT68" s="829"/>
      <c r="AU68" s="829">
        <v>1</v>
      </c>
      <c r="AV68" s="839">
        <f t="shared" si="7"/>
        <v>0</v>
      </c>
      <c r="AW68" s="534">
        <f>SUM(AB68:AG68)</f>
        <v>1</v>
      </c>
      <c r="AX68" s="534">
        <f t="shared" si="8"/>
        <v>11</v>
      </c>
      <c r="AY68" s="534">
        <f>SUM(AG68:AR68)</f>
        <v>8</v>
      </c>
      <c r="AZ68" s="534">
        <f t="shared" si="1"/>
        <v>7</v>
      </c>
      <c r="BA68" s="677" t="str">
        <f t="shared" ref="BA68:BA97" ca="1" si="10">DATEDIF(C68,$BB$1,"Y")&amp;"nam,"&amp;DATEDIF(C68,$BB$1,"YM")&amp;"thang,"&amp;DATEDIF(C68,$BB$1,"MD")&amp;"ngay."</f>
        <v>2nam,9thang,12ngay.</v>
      </c>
    </row>
    <row r="69" spans="1:53" ht="18" customHeight="1" x14ac:dyDescent="0.25">
      <c r="A69" s="423">
        <f t="shared" ref="A69:A107" si="11">A68+1</f>
        <v>66</v>
      </c>
      <c r="B69" s="628" t="s">
        <v>743</v>
      </c>
      <c r="C69" s="616">
        <v>42732</v>
      </c>
      <c r="D69" s="617"/>
      <c r="E69" s="617"/>
      <c r="F69" s="617"/>
      <c r="G69" s="617"/>
      <c r="H69" s="617"/>
      <c r="I69" s="617"/>
      <c r="J69" s="617"/>
      <c r="K69" s="617"/>
      <c r="L69" s="617"/>
      <c r="M69" s="617"/>
      <c r="N69" s="617"/>
      <c r="O69" s="618"/>
      <c r="P69" s="525"/>
      <c r="Q69" s="525"/>
      <c r="R69" s="525"/>
      <c r="S69" s="525"/>
      <c r="T69" s="525"/>
      <c r="U69" s="525"/>
      <c r="V69" s="525"/>
      <c r="W69" s="585"/>
      <c r="X69" s="525"/>
      <c r="Y69" s="525"/>
      <c r="Z69" s="525"/>
      <c r="AA69" s="526"/>
      <c r="AB69" s="692"/>
      <c r="AC69" s="692"/>
      <c r="AD69" s="692"/>
      <c r="AE69" s="692"/>
      <c r="AF69" s="692">
        <v>1</v>
      </c>
      <c r="AG69" s="692">
        <v>1</v>
      </c>
      <c r="AH69" s="692"/>
      <c r="AI69" s="693">
        <v>2</v>
      </c>
      <c r="AJ69" s="692">
        <v>1</v>
      </c>
      <c r="AK69" s="692">
        <v>2</v>
      </c>
      <c r="AL69" s="837"/>
      <c r="AM69" s="850"/>
      <c r="AN69" s="851"/>
      <c r="AO69" s="829"/>
      <c r="AP69" s="829"/>
      <c r="AQ69" s="829"/>
      <c r="AR69" s="829"/>
      <c r="AS69" s="829">
        <v>1</v>
      </c>
      <c r="AT69" s="829"/>
      <c r="AU69" s="829"/>
      <c r="AV69" s="839">
        <f t="shared" si="7"/>
        <v>0</v>
      </c>
      <c r="AW69" s="534">
        <f>SUM(AB69:AG69)</f>
        <v>2</v>
      </c>
      <c r="AX69" s="534">
        <f t="shared" si="8"/>
        <v>8</v>
      </c>
      <c r="AY69" s="534">
        <f>SUM(AH69:AM69)</f>
        <v>5</v>
      </c>
      <c r="AZ69" s="534">
        <f t="shared" ref="AZ69:AZ109" si="12">SUM(AN69:AU69)</f>
        <v>1</v>
      </c>
      <c r="BA69" s="677" t="str">
        <f t="shared" ca="1" si="10"/>
        <v>2nam,9thang,11ngay.</v>
      </c>
    </row>
    <row r="70" spans="1:53" x14ac:dyDescent="0.25">
      <c r="A70" s="423">
        <f t="shared" si="11"/>
        <v>67</v>
      </c>
      <c r="B70" s="532" t="s">
        <v>765</v>
      </c>
      <c r="C70" s="619">
        <v>42983</v>
      </c>
      <c r="D70" s="597"/>
      <c r="E70" s="597"/>
      <c r="F70" s="597"/>
      <c r="G70" s="597"/>
      <c r="H70" s="597"/>
      <c r="I70" s="597"/>
      <c r="J70" s="597"/>
      <c r="K70" s="597"/>
      <c r="L70" s="597"/>
      <c r="M70" s="597"/>
      <c r="N70" s="597"/>
      <c r="O70" s="597"/>
      <c r="P70" s="598"/>
      <c r="Q70" s="598"/>
      <c r="R70" s="598"/>
      <c r="S70" s="598"/>
      <c r="T70" s="598"/>
      <c r="U70" s="598"/>
      <c r="V70" s="598"/>
      <c r="W70" s="599"/>
      <c r="X70" s="598"/>
      <c r="Y70" s="598"/>
      <c r="Z70" s="598"/>
      <c r="AA70" s="598"/>
      <c r="AB70" s="678"/>
      <c r="AC70" s="678"/>
      <c r="AD70" s="678"/>
      <c r="AE70" s="678"/>
      <c r="AF70" s="678"/>
      <c r="AG70" s="678"/>
      <c r="AH70" s="678"/>
      <c r="AI70" s="679"/>
      <c r="AJ70" s="678"/>
      <c r="AK70" s="678"/>
      <c r="AL70" s="826"/>
      <c r="AM70" s="678"/>
      <c r="AN70" s="828"/>
      <c r="AO70" s="827"/>
      <c r="AP70" s="827"/>
      <c r="AQ70" s="827"/>
      <c r="AR70" s="827"/>
      <c r="AS70" s="827"/>
      <c r="AT70" s="827"/>
      <c r="AU70" s="827"/>
      <c r="AV70" s="839">
        <f t="shared" si="7"/>
        <v>0</v>
      </c>
      <c r="AW70" s="534">
        <f t="shared" ref="AW70:AW86" si="13">SUM(V70:AG70)</f>
        <v>0</v>
      </c>
      <c r="AX70" s="534">
        <f t="shared" si="8"/>
        <v>0</v>
      </c>
      <c r="AY70" s="534"/>
      <c r="AZ70" s="534">
        <f t="shared" si="12"/>
        <v>0</v>
      </c>
      <c r="BA70" s="196" t="str">
        <f ca="1">DATEDIF(C70,$BB$1,"Y")&amp;"nam,"&amp;DATEDIF(C70,$BB$1,"YM")&amp;"thang,"&amp;DATEDIF(C70,$BB$1,"MD")&amp;"ngay."</f>
        <v>2nam,1thang,4ngay.</v>
      </c>
    </row>
    <row r="71" spans="1:53" x14ac:dyDescent="0.25">
      <c r="A71" s="423">
        <f t="shared" si="11"/>
        <v>68</v>
      </c>
      <c r="B71" s="532" t="s">
        <v>764</v>
      </c>
      <c r="C71" s="619">
        <v>42969</v>
      </c>
      <c r="D71" s="597"/>
      <c r="E71" s="597"/>
      <c r="F71" s="597"/>
      <c r="G71" s="597"/>
      <c r="H71" s="597"/>
      <c r="I71" s="597"/>
      <c r="J71" s="597"/>
      <c r="K71" s="597"/>
      <c r="L71" s="597"/>
      <c r="M71" s="597"/>
      <c r="N71" s="597"/>
      <c r="O71" s="597"/>
      <c r="P71" s="598"/>
      <c r="Q71" s="598"/>
      <c r="R71" s="598"/>
      <c r="S71" s="598"/>
      <c r="T71" s="598"/>
      <c r="U71" s="598"/>
      <c r="V71" s="598"/>
      <c r="W71" s="599"/>
      <c r="X71" s="598"/>
      <c r="Y71" s="598"/>
      <c r="Z71" s="598"/>
      <c r="AA71" s="598"/>
      <c r="AB71" s="678"/>
      <c r="AC71" s="678"/>
      <c r="AD71" s="678"/>
      <c r="AE71" s="678"/>
      <c r="AF71" s="678"/>
      <c r="AG71" s="678">
        <v>1</v>
      </c>
      <c r="AH71" s="678"/>
      <c r="AI71" s="679"/>
      <c r="AJ71" s="678"/>
      <c r="AK71" s="678">
        <v>2</v>
      </c>
      <c r="AL71" s="826"/>
      <c r="AM71" s="678">
        <v>2</v>
      </c>
      <c r="AN71" s="828"/>
      <c r="AO71" s="827"/>
      <c r="AP71" s="827"/>
      <c r="AQ71" s="827">
        <v>1</v>
      </c>
      <c r="AR71" s="827"/>
      <c r="AS71" s="827"/>
      <c r="AT71" s="827"/>
      <c r="AU71" s="827"/>
      <c r="AV71" s="839">
        <f t="shared" si="7"/>
        <v>0</v>
      </c>
      <c r="AW71" s="534">
        <f t="shared" si="13"/>
        <v>1</v>
      </c>
      <c r="AX71" s="534">
        <f t="shared" si="8"/>
        <v>6</v>
      </c>
      <c r="AY71" s="534">
        <f>SUM(AG71:AQ71)</f>
        <v>6</v>
      </c>
      <c r="AZ71" s="534">
        <f t="shared" si="12"/>
        <v>1</v>
      </c>
      <c r="BA71" s="196" t="str">
        <f ca="1">DATEDIF(C71,$BB$1,"Y")&amp;"nam,"&amp;DATEDIF(C71,$BB$1,"YM")&amp;"thang,"&amp;DATEDIF(C71,$BB$1,"MD")&amp;"ngay."</f>
        <v>2nam,1thang,17ngay.</v>
      </c>
    </row>
    <row r="72" spans="1:53" x14ac:dyDescent="0.25">
      <c r="A72" s="423">
        <f t="shared" si="11"/>
        <v>69</v>
      </c>
      <c r="B72" s="905" t="s">
        <v>750</v>
      </c>
      <c r="C72" s="619">
        <v>42788</v>
      </c>
      <c r="D72" s="597"/>
      <c r="E72" s="597"/>
      <c r="F72" s="597"/>
      <c r="G72" s="597"/>
      <c r="H72" s="597"/>
      <c r="I72" s="597"/>
      <c r="J72" s="597"/>
      <c r="K72" s="597"/>
      <c r="L72" s="597"/>
      <c r="M72" s="597"/>
      <c r="N72" s="597"/>
      <c r="O72" s="597"/>
      <c r="P72" s="598"/>
      <c r="Q72" s="598"/>
      <c r="R72" s="598"/>
      <c r="S72" s="598"/>
      <c r="T72" s="598"/>
      <c r="U72" s="598"/>
      <c r="V72" s="598"/>
      <c r="W72" s="599"/>
      <c r="X72" s="598"/>
      <c r="Y72" s="598"/>
      <c r="Z72" s="598"/>
      <c r="AA72" s="598"/>
      <c r="AB72" s="678"/>
      <c r="AC72" s="678"/>
      <c r="AD72" s="678"/>
      <c r="AE72" s="678"/>
      <c r="AF72" s="678"/>
      <c r="AG72" s="678"/>
      <c r="AH72" s="678"/>
      <c r="AI72" s="679"/>
      <c r="AJ72" s="678"/>
      <c r="AK72" s="678">
        <v>1</v>
      </c>
      <c r="AL72" s="826"/>
      <c r="AM72" s="678"/>
      <c r="AN72" s="828">
        <v>1</v>
      </c>
      <c r="AO72" s="827"/>
      <c r="AP72" s="827"/>
      <c r="AQ72" s="827"/>
      <c r="AR72" s="827"/>
      <c r="AS72" s="827"/>
      <c r="AT72" s="827"/>
      <c r="AU72" s="827"/>
      <c r="AV72" s="839">
        <f t="shared" si="7"/>
        <v>0</v>
      </c>
      <c r="AW72" s="534">
        <f t="shared" si="13"/>
        <v>0</v>
      </c>
      <c r="AX72" s="534">
        <f t="shared" si="8"/>
        <v>2</v>
      </c>
      <c r="AY72" s="534">
        <f t="shared" ref="AY72:AY73" si="14">SUM(AG72:AM72)</f>
        <v>1</v>
      </c>
      <c r="AZ72" s="534">
        <f t="shared" si="12"/>
        <v>1</v>
      </c>
      <c r="BA72" s="677" t="str">
        <f t="shared" ca="1" si="10"/>
        <v>2nam,7thang,17ngay.</v>
      </c>
    </row>
    <row r="73" spans="1:53" x14ac:dyDescent="0.25">
      <c r="A73" s="423">
        <f t="shared" si="11"/>
        <v>70</v>
      </c>
      <c r="B73" s="532" t="s">
        <v>757</v>
      </c>
      <c r="C73" s="619">
        <v>42810</v>
      </c>
      <c r="D73" s="597"/>
      <c r="E73" s="597"/>
      <c r="F73" s="597"/>
      <c r="G73" s="597"/>
      <c r="H73" s="597"/>
      <c r="I73" s="597"/>
      <c r="J73" s="597"/>
      <c r="K73" s="597"/>
      <c r="L73" s="597"/>
      <c r="M73" s="597"/>
      <c r="N73" s="597"/>
      <c r="O73" s="597"/>
      <c r="P73" s="598"/>
      <c r="Q73" s="598"/>
      <c r="R73" s="598"/>
      <c r="S73" s="598"/>
      <c r="T73" s="598"/>
      <c r="U73" s="598"/>
      <c r="V73" s="598"/>
      <c r="W73" s="599"/>
      <c r="X73" s="598"/>
      <c r="Y73" s="598"/>
      <c r="Z73" s="598"/>
      <c r="AA73" s="598"/>
      <c r="AB73" s="678"/>
      <c r="AC73" s="678"/>
      <c r="AD73" s="678"/>
      <c r="AE73" s="678"/>
      <c r="AF73" s="678"/>
      <c r="AG73" s="678"/>
      <c r="AH73" s="678"/>
      <c r="AI73" s="679"/>
      <c r="AJ73" s="678"/>
      <c r="AK73" s="678"/>
      <c r="AL73" s="826"/>
      <c r="AM73" s="678"/>
      <c r="AN73" s="828"/>
      <c r="AO73" s="827"/>
      <c r="AP73" s="827"/>
      <c r="AQ73" s="827"/>
      <c r="AR73" s="827"/>
      <c r="AS73" s="827"/>
      <c r="AT73" s="827"/>
      <c r="AU73" s="827"/>
      <c r="AV73" s="839">
        <f t="shared" si="7"/>
        <v>0</v>
      </c>
      <c r="AW73" s="534">
        <f t="shared" si="13"/>
        <v>0</v>
      </c>
      <c r="AX73" s="534">
        <f t="shared" si="8"/>
        <v>0</v>
      </c>
      <c r="AY73" s="534">
        <f t="shared" si="14"/>
        <v>0</v>
      </c>
      <c r="AZ73" s="534">
        <f t="shared" si="12"/>
        <v>0</v>
      </c>
      <c r="BA73" s="196" t="str">
        <f t="shared" ca="1" si="10"/>
        <v>2nam,6thang,23ngay.</v>
      </c>
    </row>
    <row r="74" spans="1:53" x14ac:dyDescent="0.25">
      <c r="A74" s="423">
        <f t="shared" si="11"/>
        <v>71</v>
      </c>
      <c r="B74" s="532" t="s">
        <v>758</v>
      </c>
      <c r="C74" s="619">
        <v>42844</v>
      </c>
      <c r="D74" s="597"/>
      <c r="E74" s="597"/>
      <c r="F74" s="597"/>
      <c r="G74" s="597"/>
      <c r="H74" s="597"/>
      <c r="I74" s="597"/>
      <c r="J74" s="597"/>
      <c r="K74" s="597"/>
      <c r="L74" s="597"/>
      <c r="M74" s="597"/>
      <c r="N74" s="597"/>
      <c r="O74" s="597"/>
      <c r="P74" s="598"/>
      <c r="Q74" s="598"/>
      <c r="R74" s="598"/>
      <c r="S74" s="598"/>
      <c r="T74" s="598"/>
      <c r="U74" s="598"/>
      <c r="V74" s="598"/>
      <c r="W74" s="599"/>
      <c r="X74" s="598"/>
      <c r="Y74" s="598"/>
      <c r="Z74" s="598"/>
      <c r="AA74" s="598"/>
      <c r="AB74" s="678"/>
      <c r="AC74" s="678"/>
      <c r="AD74" s="678"/>
      <c r="AE74" s="678"/>
      <c r="AF74" s="678">
        <v>1</v>
      </c>
      <c r="AG74" s="678"/>
      <c r="AH74" s="678">
        <v>1</v>
      </c>
      <c r="AI74" s="679">
        <v>1</v>
      </c>
      <c r="AJ74" s="678"/>
      <c r="AK74" s="678">
        <v>1</v>
      </c>
      <c r="AL74" s="826"/>
      <c r="AM74" s="678"/>
      <c r="AN74" s="828">
        <v>1</v>
      </c>
      <c r="AO74" s="827"/>
      <c r="AP74" s="827">
        <v>1</v>
      </c>
      <c r="AQ74" s="827"/>
      <c r="AR74" s="827"/>
      <c r="AS74" s="827"/>
      <c r="AT74" s="827"/>
      <c r="AU74" s="827"/>
      <c r="AV74" s="839">
        <f t="shared" si="7"/>
        <v>0</v>
      </c>
      <c r="AW74" s="534"/>
      <c r="AX74" s="534">
        <f t="shared" si="8"/>
        <v>6</v>
      </c>
      <c r="AY74" s="534">
        <f>SUM(AF74:AP74)</f>
        <v>6</v>
      </c>
      <c r="AZ74" s="534">
        <f t="shared" si="12"/>
        <v>2</v>
      </c>
      <c r="BA74" s="196" t="str">
        <f t="shared" ca="1" si="10"/>
        <v>2nam,5thang,20ngay.</v>
      </c>
    </row>
    <row r="75" spans="1:53" x14ac:dyDescent="0.25">
      <c r="A75" s="423">
        <f t="shared" si="11"/>
        <v>72</v>
      </c>
      <c r="B75" s="532" t="s">
        <v>759</v>
      </c>
      <c r="C75" s="619">
        <v>42941</v>
      </c>
      <c r="D75" s="597"/>
      <c r="E75" s="597"/>
      <c r="F75" s="597"/>
      <c r="G75" s="597"/>
      <c r="H75" s="597"/>
      <c r="I75" s="597"/>
      <c r="J75" s="597"/>
      <c r="K75" s="597"/>
      <c r="L75" s="597"/>
      <c r="M75" s="597"/>
      <c r="N75" s="597"/>
      <c r="O75" s="597"/>
      <c r="P75" s="598"/>
      <c r="Q75" s="598"/>
      <c r="R75" s="598"/>
      <c r="S75" s="598"/>
      <c r="T75" s="598"/>
      <c r="U75" s="598"/>
      <c r="V75" s="598"/>
      <c r="W75" s="599"/>
      <c r="X75" s="598"/>
      <c r="Y75" s="598"/>
      <c r="Z75" s="598"/>
      <c r="AA75" s="598"/>
      <c r="AB75" s="678"/>
      <c r="AC75" s="678"/>
      <c r="AD75" s="678"/>
      <c r="AE75" s="678"/>
      <c r="AF75" s="678"/>
      <c r="AG75" s="678"/>
      <c r="AH75" s="678"/>
      <c r="AI75" s="679"/>
      <c r="AJ75" s="678"/>
      <c r="AK75" s="678"/>
      <c r="AL75" s="826"/>
      <c r="AM75" s="678"/>
      <c r="AN75" s="828"/>
      <c r="AO75" s="827"/>
      <c r="AP75" s="827"/>
      <c r="AQ75" s="827"/>
      <c r="AR75" s="827"/>
      <c r="AS75" s="827"/>
      <c r="AT75" s="827"/>
      <c r="AU75" s="827"/>
      <c r="AV75" s="839">
        <f t="shared" si="7"/>
        <v>0</v>
      </c>
      <c r="AW75" s="534">
        <f t="shared" si="13"/>
        <v>0</v>
      </c>
      <c r="AX75" s="534">
        <f t="shared" si="8"/>
        <v>0</v>
      </c>
      <c r="AY75" s="534"/>
      <c r="AZ75" s="534">
        <f t="shared" si="12"/>
        <v>0</v>
      </c>
      <c r="BA75" s="196" t="str">
        <f t="shared" ca="1" si="10"/>
        <v>2nam,2thang,14ngay.</v>
      </c>
    </row>
    <row r="76" spans="1:53" x14ac:dyDescent="0.25">
      <c r="A76" s="423">
        <f t="shared" si="11"/>
        <v>73</v>
      </c>
      <c r="B76" s="532" t="s">
        <v>760</v>
      </c>
      <c r="C76" s="620">
        <v>42933</v>
      </c>
      <c r="D76" s="597"/>
      <c r="E76" s="597"/>
      <c r="F76" s="597"/>
      <c r="G76" s="597"/>
      <c r="H76" s="597"/>
      <c r="I76" s="597"/>
      <c r="J76" s="597"/>
      <c r="K76" s="597"/>
      <c r="L76" s="597"/>
      <c r="M76" s="597"/>
      <c r="N76" s="597"/>
      <c r="O76" s="597"/>
      <c r="P76" s="598"/>
      <c r="Q76" s="598"/>
      <c r="R76" s="598"/>
      <c r="S76" s="598"/>
      <c r="T76" s="598"/>
      <c r="U76" s="598"/>
      <c r="V76" s="598"/>
      <c r="W76" s="599"/>
      <c r="X76" s="598"/>
      <c r="Y76" s="598"/>
      <c r="Z76" s="598"/>
      <c r="AA76" s="598"/>
      <c r="AB76" s="678"/>
      <c r="AC76" s="678"/>
      <c r="AD76" s="678"/>
      <c r="AE76" s="678"/>
      <c r="AF76" s="678"/>
      <c r="AG76" s="678"/>
      <c r="AH76" s="678"/>
      <c r="AI76" s="679"/>
      <c r="AJ76" s="678"/>
      <c r="AK76" s="678"/>
      <c r="AL76" s="826"/>
      <c r="AM76" s="678"/>
      <c r="AN76" s="828"/>
      <c r="AO76" s="827"/>
      <c r="AP76" s="827"/>
      <c r="AQ76" s="827"/>
      <c r="AR76" s="827"/>
      <c r="AS76" s="827"/>
      <c r="AT76" s="827"/>
      <c r="AU76" s="827"/>
      <c r="AV76" s="839">
        <f t="shared" si="7"/>
        <v>0</v>
      </c>
      <c r="AW76" s="534">
        <f t="shared" si="13"/>
        <v>0</v>
      </c>
      <c r="AX76" s="534">
        <f t="shared" si="8"/>
        <v>0</v>
      </c>
      <c r="AY76" s="534"/>
      <c r="AZ76" s="534">
        <f t="shared" si="12"/>
        <v>0</v>
      </c>
      <c r="BA76" s="196" t="str">
        <f t="shared" ca="1" si="10"/>
        <v>2nam,2thang,22ngay.</v>
      </c>
    </row>
    <row r="77" spans="1:53" x14ac:dyDescent="0.25">
      <c r="A77" s="423">
        <f t="shared" si="11"/>
        <v>74</v>
      </c>
      <c r="B77" s="905" t="s">
        <v>746</v>
      </c>
      <c r="C77" s="600">
        <v>42751</v>
      </c>
      <c r="D77" s="597"/>
      <c r="E77" s="597"/>
      <c r="F77" s="597"/>
      <c r="G77" s="597"/>
      <c r="H77" s="597"/>
      <c r="I77" s="597"/>
      <c r="J77" s="597"/>
      <c r="K77" s="597"/>
      <c r="L77" s="597"/>
      <c r="M77" s="597"/>
      <c r="N77" s="597"/>
      <c r="O77" s="597"/>
      <c r="P77" s="598"/>
      <c r="Q77" s="598"/>
      <c r="R77" s="598"/>
      <c r="S77" s="598"/>
      <c r="T77" s="598"/>
      <c r="U77" s="598"/>
      <c r="V77" s="598"/>
      <c r="W77" s="599"/>
      <c r="X77" s="598"/>
      <c r="Y77" s="598"/>
      <c r="Z77" s="598"/>
      <c r="AA77" s="598"/>
      <c r="AB77" s="678"/>
      <c r="AC77" s="678"/>
      <c r="AD77" s="678">
        <v>1</v>
      </c>
      <c r="AE77" s="678"/>
      <c r="AF77" s="678">
        <v>1</v>
      </c>
      <c r="AG77" s="678">
        <v>1</v>
      </c>
      <c r="AH77" s="678">
        <v>2</v>
      </c>
      <c r="AI77" s="679">
        <v>1</v>
      </c>
      <c r="AJ77" s="678">
        <v>1</v>
      </c>
      <c r="AK77" s="678">
        <v>2</v>
      </c>
      <c r="AL77" s="826"/>
      <c r="AM77" s="678">
        <v>1</v>
      </c>
      <c r="AN77" s="828">
        <v>1</v>
      </c>
      <c r="AO77" s="827"/>
      <c r="AP77" s="827"/>
      <c r="AQ77" s="827">
        <v>1</v>
      </c>
      <c r="AR77" s="827">
        <v>2</v>
      </c>
      <c r="AS77" s="827">
        <v>3</v>
      </c>
      <c r="AT77" s="827"/>
      <c r="AU77" s="827">
        <v>1</v>
      </c>
      <c r="AV77" s="839">
        <f t="shared" si="7"/>
        <v>0</v>
      </c>
      <c r="AW77" s="534"/>
      <c r="AX77" s="534">
        <f t="shared" si="8"/>
        <v>18</v>
      </c>
      <c r="AY77" s="534">
        <f>SUM(AD77:AQ77)</f>
        <v>12</v>
      </c>
      <c r="AZ77" s="534">
        <f t="shared" si="12"/>
        <v>8</v>
      </c>
      <c r="BA77" s="677" t="str">
        <f t="shared" ca="1" si="10"/>
        <v>2nam,8thang,23ngay.</v>
      </c>
    </row>
    <row r="78" spans="1:53" x14ac:dyDescent="0.25">
      <c r="A78" s="423">
        <f t="shared" si="11"/>
        <v>75</v>
      </c>
      <c r="B78" s="905" t="s">
        <v>747</v>
      </c>
      <c r="C78" s="600">
        <v>42756</v>
      </c>
      <c r="D78" s="597"/>
      <c r="E78" s="597"/>
      <c r="F78" s="597"/>
      <c r="G78" s="597"/>
      <c r="H78" s="597"/>
      <c r="I78" s="597"/>
      <c r="J78" s="597"/>
      <c r="K78" s="597"/>
      <c r="L78" s="597"/>
      <c r="M78" s="597"/>
      <c r="N78" s="597"/>
      <c r="O78" s="597"/>
      <c r="P78" s="598"/>
      <c r="Q78" s="598"/>
      <c r="R78" s="598"/>
      <c r="S78" s="598"/>
      <c r="T78" s="598"/>
      <c r="U78" s="598"/>
      <c r="V78" s="598"/>
      <c r="W78" s="599"/>
      <c r="X78" s="598"/>
      <c r="Y78" s="598"/>
      <c r="Z78" s="598"/>
      <c r="AA78" s="598"/>
      <c r="AB78" s="678"/>
      <c r="AC78" s="678"/>
      <c r="AD78" s="678"/>
      <c r="AE78" s="678"/>
      <c r="AF78" s="678">
        <v>1</v>
      </c>
      <c r="AG78" s="678"/>
      <c r="AH78" s="678">
        <v>1</v>
      </c>
      <c r="AI78" s="679">
        <v>1</v>
      </c>
      <c r="AJ78" s="678"/>
      <c r="AK78" s="678"/>
      <c r="AL78" s="826">
        <v>1</v>
      </c>
      <c r="AM78" s="678"/>
      <c r="AN78" s="828"/>
      <c r="AO78" s="827"/>
      <c r="AP78" s="827"/>
      <c r="AQ78" s="827">
        <v>1</v>
      </c>
      <c r="AR78" s="827">
        <v>2</v>
      </c>
      <c r="AS78" s="827">
        <v>1</v>
      </c>
      <c r="AT78" s="827">
        <v>1</v>
      </c>
      <c r="AU78" s="827"/>
      <c r="AV78" s="839">
        <f t="shared" si="7"/>
        <v>0</v>
      </c>
      <c r="AW78" s="534"/>
      <c r="AX78" s="534">
        <f t="shared" si="8"/>
        <v>9</v>
      </c>
      <c r="AY78" s="534">
        <f>SUM(AD78:AM78)</f>
        <v>4</v>
      </c>
      <c r="AZ78" s="534">
        <f t="shared" si="12"/>
        <v>5</v>
      </c>
      <c r="BA78" s="677" t="str">
        <f t="shared" ca="1" si="10"/>
        <v>2nam,8thang,18ngay.</v>
      </c>
    </row>
    <row r="79" spans="1:53" x14ac:dyDescent="0.25">
      <c r="A79" s="423">
        <f t="shared" si="11"/>
        <v>76</v>
      </c>
      <c r="B79" s="905" t="s">
        <v>748</v>
      </c>
      <c r="C79" s="600">
        <v>42770</v>
      </c>
      <c r="D79" s="597"/>
      <c r="E79" s="597"/>
      <c r="F79" s="597"/>
      <c r="G79" s="597"/>
      <c r="H79" s="597"/>
      <c r="I79" s="597"/>
      <c r="J79" s="597"/>
      <c r="K79" s="597"/>
      <c r="L79" s="597"/>
      <c r="M79" s="597"/>
      <c r="N79" s="597"/>
      <c r="O79" s="597"/>
      <c r="P79" s="598"/>
      <c r="Q79" s="598"/>
      <c r="R79" s="598"/>
      <c r="S79" s="598"/>
      <c r="T79" s="598"/>
      <c r="U79" s="598"/>
      <c r="V79" s="598"/>
      <c r="W79" s="599"/>
      <c r="X79" s="598"/>
      <c r="Y79" s="598"/>
      <c r="Z79" s="598"/>
      <c r="AA79" s="598"/>
      <c r="AB79" s="678"/>
      <c r="AC79" s="678"/>
      <c r="AD79" s="678">
        <v>1</v>
      </c>
      <c r="AE79" s="678">
        <v>1</v>
      </c>
      <c r="AF79" s="678"/>
      <c r="AG79" s="678"/>
      <c r="AH79" s="678">
        <v>1</v>
      </c>
      <c r="AI79" s="679">
        <v>1</v>
      </c>
      <c r="AJ79" s="678">
        <v>2</v>
      </c>
      <c r="AK79" s="678"/>
      <c r="AL79" s="826"/>
      <c r="AM79" s="678">
        <v>2</v>
      </c>
      <c r="AN79" s="828">
        <v>1</v>
      </c>
      <c r="AO79" s="827"/>
      <c r="AP79" s="827">
        <v>1</v>
      </c>
      <c r="AQ79" s="827"/>
      <c r="AR79" s="827"/>
      <c r="AS79" s="827"/>
      <c r="AT79" s="827">
        <v>2</v>
      </c>
      <c r="AU79" s="827"/>
      <c r="AV79" s="839">
        <f t="shared" si="7"/>
        <v>0</v>
      </c>
      <c r="AW79" s="534"/>
      <c r="AX79" s="534">
        <f t="shared" si="8"/>
        <v>12</v>
      </c>
      <c r="AY79" s="534">
        <f>SUM(AD79:AP79)</f>
        <v>10</v>
      </c>
      <c r="AZ79" s="534">
        <f t="shared" si="12"/>
        <v>4</v>
      </c>
      <c r="BA79" s="677" t="str">
        <f t="shared" ca="1" si="10"/>
        <v>2nam,8thang,5ngay.</v>
      </c>
    </row>
    <row r="80" spans="1:53" x14ac:dyDescent="0.25">
      <c r="A80" s="423">
        <f t="shared" si="11"/>
        <v>77</v>
      </c>
      <c r="B80" s="905" t="s">
        <v>752</v>
      </c>
      <c r="C80" s="600">
        <v>42789</v>
      </c>
      <c r="D80" s="59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8"/>
      <c r="Q80" s="598"/>
      <c r="R80" s="598"/>
      <c r="S80" s="598"/>
      <c r="T80" s="598"/>
      <c r="U80" s="598"/>
      <c r="V80" s="598"/>
      <c r="W80" s="599"/>
      <c r="X80" s="598"/>
      <c r="Y80" s="598"/>
      <c r="Z80" s="598"/>
      <c r="AA80" s="598"/>
      <c r="AB80" s="678"/>
      <c r="AC80" s="678"/>
      <c r="AD80" s="678"/>
      <c r="AE80" s="678"/>
      <c r="AF80" s="678">
        <v>1</v>
      </c>
      <c r="AG80" s="678"/>
      <c r="AH80" s="678"/>
      <c r="AI80" s="679">
        <v>1</v>
      </c>
      <c r="AJ80" s="678">
        <v>2</v>
      </c>
      <c r="AK80" s="678"/>
      <c r="AL80" s="826"/>
      <c r="AM80" s="678"/>
      <c r="AN80" s="828"/>
      <c r="AO80" s="827">
        <v>2</v>
      </c>
      <c r="AP80" s="827"/>
      <c r="AQ80" s="827"/>
      <c r="AR80" s="827">
        <v>1</v>
      </c>
      <c r="AS80" s="827"/>
      <c r="AT80" s="827"/>
      <c r="AU80" s="827"/>
      <c r="AV80" s="839">
        <f t="shared" si="7"/>
        <v>0</v>
      </c>
      <c r="AW80" s="534"/>
      <c r="AX80" s="534">
        <f t="shared" si="8"/>
        <v>7</v>
      </c>
      <c r="AY80" s="534">
        <f>SUM(AF80:AO80)</f>
        <v>6</v>
      </c>
      <c r="AZ80" s="534">
        <f t="shared" si="12"/>
        <v>3</v>
      </c>
      <c r="BA80" s="677" t="str">
        <f t="shared" ca="1" si="10"/>
        <v>2nam,7thang,16ngay.</v>
      </c>
    </row>
    <row r="81" spans="1:53" x14ac:dyDescent="0.25">
      <c r="A81" s="423">
        <f t="shared" si="11"/>
        <v>78</v>
      </c>
      <c r="B81" s="905" t="s">
        <v>753</v>
      </c>
      <c r="C81" s="600">
        <v>42789</v>
      </c>
      <c r="D81" s="59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8"/>
      <c r="Q81" s="598"/>
      <c r="R81" s="598"/>
      <c r="S81" s="598"/>
      <c r="T81" s="598"/>
      <c r="U81" s="598"/>
      <c r="V81" s="598"/>
      <c r="W81" s="599"/>
      <c r="X81" s="598"/>
      <c r="Y81" s="598"/>
      <c r="Z81" s="598"/>
      <c r="AA81" s="598"/>
      <c r="AB81" s="678"/>
      <c r="AC81" s="678"/>
      <c r="AD81" s="678">
        <v>2</v>
      </c>
      <c r="AE81" s="678"/>
      <c r="AF81" s="678">
        <v>1</v>
      </c>
      <c r="AG81" s="678"/>
      <c r="AH81" s="678"/>
      <c r="AI81" s="679">
        <v>1</v>
      </c>
      <c r="AJ81" s="678"/>
      <c r="AK81" s="678">
        <v>1</v>
      </c>
      <c r="AL81" s="826"/>
      <c r="AM81" s="678"/>
      <c r="AN81" s="828"/>
      <c r="AO81" s="827"/>
      <c r="AP81" s="827"/>
      <c r="AQ81" s="827">
        <v>1</v>
      </c>
      <c r="AR81" s="827"/>
      <c r="AS81" s="827"/>
      <c r="AT81" s="827">
        <v>1</v>
      </c>
      <c r="AU81" s="827">
        <v>1</v>
      </c>
      <c r="AV81" s="839">
        <f t="shared" si="7"/>
        <v>0</v>
      </c>
      <c r="AW81" s="534"/>
      <c r="AX81" s="534">
        <f t="shared" si="8"/>
        <v>8</v>
      </c>
      <c r="AY81" s="534">
        <f>SUM(AD81:AQ81)</f>
        <v>6</v>
      </c>
      <c r="AZ81" s="534">
        <f t="shared" si="12"/>
        <v>3</v>
      </c>
      <c r="BA81" s="677" t="str">
        <f t="shared" ca="1" si="10"/>
        <v>2nam,7thang,16ngay.</v>
      </c>
    </row>
    <row r="82" spans="1:53" x14ac:dyDescent="0.25">
      <c r="A82" s="423">
        <f t="shared" si="11"/>
        <v>79</v>
      </c>
      <c r="B82" s="905" t="s">
        <v>755</v>
      </c>
      <c r="C82" s="600">
        <v>42789</v>
      </c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8"/>
      <c r="Q82" s="598"/>
      <c r="R82" s="598"/>
      <c r="S82" s="598"/>
      <c r="T82" s="598"/>
      <c r="U82" s="598"/>
      <c r="V82" s="598"/>
      <c r="W82" s="599"/>
      <c r="X82" s="598"/>
      <c r="Y82" s="598"/>
      <c r="Z82" s="598"/>
      <c r="AA82" s="598"/>
      <c r="AB82" s="678"/>
      <c r="AC82" s="678"/>
      <c r="AD82" s="678">
        <v>1</v>
      </c>
      <c r="AE82" s="678">
        <v>2</v>
      </c>
      <c r="AF82" s="678"/>
      <c r="AG82" s="678"/>
      <c r="AH82" s="678"/>
      <c r="AI82" s="679"/>
      <c r="AJ82" s="678"/>
      <c r="AK82" s="678"/>
      <c r="AL82" s="826"/>
      <c r="AM82" s="678"/>
      <c r="AN82" s="828"/>
      <c r="AO82" s="827"/>
      <c r="AP82" s="827"/>
      <c r="AQ82" s="827"/>
      <c r="AR82" s="827"/>
      <c r="AS82" s="827"/>
      <c r="AT82" s="827"/>
      <c r="AU82" s="827"/>
      <c r="AV82" s="839">
        <f t="shared" si="7"/>
        <v>0</v>
      </c>
      <c r="AW82" s="534"/>
      <c r="AX82" s="534">
        <f t="shared" si="8"/>
        <v>3</v>
      </c>
      <c r="AY82" s="534">
        <f>SUM(AD82:AM82)</f>
        <v>3</v>
      </c>
      <c r="AZ82" s="534">
        <f t="shared" si="12"/>
        <v>0</v>
      </c>
      <c r="BA82" s="677" t="str">
        <f t="shared" ca="1" si="10"/>
        <v>2nam,7thang,16ngay.</v>
      </c>
    </row>
    <row r="83" spans="1:53" s="730" customFormat="1" x14ac:dyDescent="0.25">
      <c r="A83" s="725">
        <f t="shared" si="11"/>
        <v>80</v>
      </c>
      <c r="B83" s="906" t="s">
        <v>754</v>
      </c>
      <c r="C83" s="731">
        <v>42789</v>
      </c>
      <c r="D83" s="727"/>
      <c r="E83" s="727"/>
      <c r="F83" s="727"/>
      <c r="G83" s="727"/>
      <c r="H83" s="727"/>
      <c r="I83" s="727"/>
      <c r="J83" s="727"/>
      <c r="K83" s="727"/>
      <c r="L83" s="727"/>
      <c r="M83" s="727"/>
      <c r="N83" s="727"/>
      <c r="O83" s="727"/>
      <c r="P83" s="727"/>
      <c r="Q83" s="727"/>
      <c r="R83" s="727"/>
      <c r="S83" s="727"/>
      <c r="T83" s="727"/>
      <c r="U83" s="727"/>
      <c r="V83" s="727"/>
      <c r="W83" s="728"/>
      <c r="X83" s="727"/>
      <c r="Y83" s="727"/>
      <c r="Z83" s="727"/>
      <c r="AA83" s="727"/>
      <c r="AB83" s="727"/>
      <c r="AC83" s="727"/>
      <c r="AD83" s="727"/>
      <c r="AE83" s="727"/>
      <c r="AF83" s="727"/>
      <c r="AG83" s="727"/>
      <c r="AH83" s="727"/>
      <c r="AI83" s="728"/>
      <c r="AJ83" s="727"/>
      <c r="AK83" s="727"/>
      <c r="AL83" s="838"/>
      <c r="AM83" s="727"/>
      <c r="AN83" s="828"/>
      <c r="AO83" s="827"/>
      <c r="AP83" s="827"/>
      <c r="AQ83" s="827"/>
      <c r="AR83" s="827"/>
      <c r="AS83" s="827"/>
      <c r="AT83" s="827"/>
      <c r="AU83" s="827"/>
      <c r="AV83" s="841">
        <f t="shared" si="7"/>
        <v>0</v>
      </c>
      <c r="AW83" s="729"/>
      <c r="AX83" s="729">
        <f t="shared" si="8"/>
        <v>0</v>
      </c>
      <c r="AY83" s="729">
        <f>SUM(AD83:AM83)</f>
        <v>0</v>
      </c>
      <c r="AZ83" s="534">
        <f t="shared" si="12"/>
        <v>0</v>
      </c>
      <c r="BA83" s="730" t="str">
        <f t="shared" ca="1" si="10"/>
        <v>2nam,7thang,16ngay.</v>
      </c>
    </row>
    <row r="84" spans="1:53" x14ac:dyDescent="0.25">
      <c r="A84" s="423">
        <f t="shared" si="11"/>
        <v>81</v>
      </c>
      <c r="B84" s="437" t="s">
        <v>756</v>
      </c>
      <c r="C84" s="620">
        <v>42789</v>
      </c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8"/>
      <c r="Q84" s="598"/>
      <c r="R84" s="598"/>
      <c r="S84" s="598"/>
      <c r="T84" s="598"/>
      <c r="U84" s="598"/>
      <c r="V84" s="598"/>
      <c r="W84" s="599"/>
      <c r="X84" s="598"/>
      <c r="Y84" s="598"/>
      <c r="Z84" s="598"/>
      <c r="AA84" s="598"/>
      <c r="AB84" s="678"/>
      <c r="AC84" s="678"/>
      <c r="AD84" s="678"/>
      <c r="AE84" s="678">
        <v>1</v>
      </c>
      <c r="AF84" s="678">
        <v>1</v>
      </c>
      <c r="AG84" s="678">
        <v>2</v>
      </c>
      <c r="AH84" s="678">
        <v>1</v>
      </c>
      <c r="AI84" s="679">
        <v>1</v>
      </c>
      <c r="AJ84" s="678"/>
      <c r="AK84" s="678">
        <v>2</v>
      </c>
      <c r="AL84" s="826">
        <v>4</v>
      </c>
      <c r="AM84" s="678"/>
      <c r="AN84" s="828">
        <v>1</v>
      </c>
      <c r="AO84" s="827">
        <v>1.5</v>
      </c>
      <c r="AP84" s="827"/>
      <c r="AQ84" s="827">
        <v>1</v>
      </c>
      <c r="AR84" s="827">
        <v>1.5</v>
      </c>
      <c r="AS84" s="827">
        <v>2</v>
      </c>
      <c r="AT84" s="827"/>
      <c r="AU84" s="827">
        <v>2</v>
      </c>
      <c r="AV84" s="839">
        <f t="shared" si="7"/>
        <v>0</v>
      </c>
      <c r="AW84" s="534"/>
      <c r="AX84" s="534">
        <f t="shared" si="8"/>
        <v>21</v>
      </c>
      <c r="AY84" s="534">
        <f>SUM(AD84:AM84)</f>
        <v>12</v>
      </c>
      <c r="AZ84" s="534">
        <f t="shared" si="12"/>
        <v>9</v>
      </c>
      <c r="BA84" s="677" t="str">
        <f t="shared" ca="1" si="10"/>
        <v>2nam,7thang,16ngay.</v>
      </c>
    </row>
    <row r="85" spans="1:53" s="730" customFormat="1" x14ac:dyDescent="0.25">
      <c r="A85" s="725">
        <f t="shared" si="11"/>
        <v>82</v>
      </c>
      <c r="B85" s="906" t="s">
        <v>769</v>
      </c>
      <c r="C85" s="726">
        <v>43073</v>
      </c>
      <c r="D85" s="727"/>
      <c r="E85" s="727"/>
      <c r="F85" s="727"/>
      <c r="G85" s="727"/>
      <c r="H85" s="727"/>
      <c r="I85" s="727"/>
      <c r="J85" s="727"/>
      <c r="K85" s="727"/>
      <c r="L85" s="727"/>
      <c r="M85" s="727"/>
      <c r="N85" s="727"/>
      <c r="O85" s="727"/>
      <c r="P85" s="727"/>
      <c r="Q85" s="727"/>
      <c r="R85" s="727"/>
      <c r="S85" s="727"/>
      <c r="T85" s="727"/>
      <c r="U85" s="727"/>
      <c r="V85" s="727"/>
      <c r="W85" s="728"/>
      <c r="X85" s="727"/>
      <c r="Y85" s="727"/>
      <c r="Z85" s="727"/>
      <c r="AA85" s="727"/>
      <c r="AB85" s="727"/>
      <c r="AC85" s="727"/>
      <c r="AD85" s="727"/>
      <c r="AE85" s="727"/>
      <c r="AF85" s="727"/>
      <c r="AG85" s="727"/>
      <c r="AH85" s="727"/>
      <c r="AI85" s="728"/>
      <c r="AJ85" s="727"/>
      <c r="AK85" s="727"/>
      <c r="AL85" s="838"/>
      <c r="AM85" s="727"/>
      <c r="AN85" s="828"/>
      <c r="AO85" s="827"/>
      <c r="AP85" s="827"/>
      <c r="AQ85" s="827"/>
      <c r="AR85" s="827"/>
      <c r="AS85" s="827"/>
      <c r="AT85" s="827"/>
      <c r="AU85" s="827"/>
      <c r="AV85" s="841">
        <f t="shared" si="7"/>
        <v>0</v>
      </c>
      <c r="AW85" s="729">
        <f t="shared" si="13"/>
        <v>0</v>
      </c>
      <c r="AX85" s="729">
        <f t="shared" si="8"/>
        <v>0</v>
      </c>
      <c r="AY85" s="729"/>
      <c r="AZ85" s="534">
        <f t="shared" si="12"/>
        <v>0</v>
      </c>
      <c r="BA85" s="730" t="str">
        <f t="shared" ca="1" si="10"/>
        <v>1nam,10thang,5ngay.</v>
      </c>
    </row>
    <row r="86" spans="1:53" x14ac:dyDescent="0.25">
      <c r="A86" s="423">
        <f t="shared" si="11"/>
        <v>83</v>
      </c>
      <c r="B86" s="532" t="s">
        <v>770</v>
      </c>
      <c r="C86" s="620">
        <v>43084</v>
      </c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8"/>
      <c r="Q86" s="598"/>
      <c r="R86" s="598"/>
      <c r="S86" s="598"/>
      <c r="T86" s="598"/>
      <c r="U86" s="598"/>
      <c r="V86" s="598"/>
      <c r="W86" s="599"/>
      <c r="X86" s="598"/>
      <c r="Y86" s="598"/>
      <c r="Z86" s="598"/>
      <c r="AA86" s="598"/>
      <c r="AB86" s="678"/>
      <c r="AC86" s="678"/>
      <c r="AD86" s="678"/>
      <c r="AE86" s="678"/>
      <c r="AF86" s="678"/>
      <c r="AG86" s="678"/>
      <c r="AH86" s="678"/>
      <c r="AI86" s="679"/>
      <c r="AJ86" s="678"/>
      <c r="AK86" s="678"/>
      <c r="AL86" s="826"/>
      <c r="AM86" s="678"/>
      <c r="AN86" s="828"/>
      <c r="AO86" s="827"/>
      <c r="AP86" s="827">
        <v>1</v>
      </c>
      <c r="AQ86" s="827"/>
      <c r="AR86" s="827"/>
      <c r="AS86" s="827"/>
      <c r="AT86" s="827"/>
      <c r="AU86" s="827"/>
      <c r="AV86" s="839">
        <f t="shared" si="7"/>
        <v>0</v>
      </c>
      <c r="AW86" s="534">
        <f t="shared" si="13"/>
        <v>0</v>
      </c>
      <c r="AX86" s="534">
        <f t="shared" si="8"/>
        <v>1</v>
      </c>
      <c r="AY86" s="534">
        <f>SUM(AN86:AP86)</f>
        <v>1</v>
      </c>
      <c r="AZ86" s="534">
        <f t="shared" si="12"/>
        <v>1</v>
      </c>
      <c r="BA86" s="196" t="str">
        <f t="shared" ca="1" si="10"/>
        <v>1nam,9thang,24ngay.</v>
      </c>
    </row>
    <row r="87" spans="1:53" x14ac:dyDescent="0.25">
      <c r="A87" s="423">
        <f t="shared" si="11"/>
        <v>84</v>
      </c>
      <c r="B87" s="532" t="s">
        <v>775</v>
      </c>
      <c r="C87" s="620">
        <v>43177</v>
      </c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8"/>
      <c r="Q87" s="598"/>
      <c r="R87" s="598"/>
      <c r="S87" s="598"/>
      <c r="T87" s="598"/>
      <c r="U87" s="598"/>
      <c r="V87" s="598"/>
      <c r="W87" s="599"/>
      <c r="X87" s="598"/>
      <c r="Y87" s="598"/>
      <c r="Z87" s="598"/>
      <c r="AA87" s="598"/>
      <c r="AB87" s="678"/>
      <c r="AC87" s="678"/>
      <c r="AD87" s="678"/>
      <c r="AE87" s="678"/>
      <c r="AF87" s="678"/>
      <c r="AG87" s="678"/>
      <c r="AH87" s="678"/>
      <c r="AI87" s="679">
        <v>1</v>
      </c>
      <c r="AJ87" s="678"/>
      <c r="AK87" s="678">
        <v>1</v>
      </c>
      <c r="AL87" s="826"/>
      <c r="AM87" s="678"/>
      <c r="AN87" s="828">
        <v>1</v>
      </c>
      <c r="AO87" s="827"/>
      <c r="AP87" s="827">
        <v>1</v>
      </c>
      <c r="AQ87" s="827"/>
      <c r="AR87" s="827">
        <v>1</v>
      </c>
      <c r="AS87" s="827"/>
      <c r="AT87" s="827">
        <v>1.5</v>
      </c>
      <c r="AU87" s="827"/>
      <c r="AV87" s="839">
        <f>SUM(D87:U87)</f>
        <v>0</v>
      </c>
      <c r="AW87" s="534">
        <f>SUM(V87:AG87)</f>
        <v>0</v>
      </c>
      <c r="AX87" s="534">
        <f>SUM(W87:AV87)</f>
        <v>6.5</v>
      </c>
      <c r="AY87" s="534">
        <f>SUM(AI87:AP87)</f>
        <v>4</v>
      </c>
      <c r="AZ87" s="534">
        <f t="shared" si="12"/>
        <v>4.5</v>
      </c>
      <c r="BA87" s="196" t="str">
        <f t="shared" ca="1" si="10"/>
        <v>1nam,6thang,21ngay.</v>
      </c>
    </row>
    <row r="88" spans="1:53" x14ac:dyDescent="0.25">
      <c r="A88" s="423">
        <f t="shared" si="11"/>
        <v>85</v>
      </c>
      <c r="B88" s="532" t="s">
        <v>778</v>
      </c>
      <c r="C88" s="620">
        <v>43159</v>
      </c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8"/>
      <c r="Q88" s="598"/>
      <c r="R88" s="598"/>
      <c r="S88" s="598"/>
      <c r="T88" s="598"/>
      <c r="U88" s="598"/>
      <c r="V88" s="598"/>
      <c r="W88" s="599"/>
      <c r="X88" s="598"/>
      <c r="Y88" s="598"/>
      <c r="Z88" s="598"/>
      <c r="AA88" s="598"/>
      <c r="AB88" s="678"/>
      <c r="AC88" s="678"/>
      <c r="AD88" s="678"/>
      <c r="AE88" s="678"/>
      <c r="AF88" s="678"/>
      <c r="AG88" s="678"/>
      <c r="AH88" s="678"/>
      <c r="AI88" s="679"/>
      <c r="AJ88" s="678"/>
      <c r="AK88" s="678">
        <v>2</v>
      </c>
      <c r="AL88" s="826"/>
      <c r="AM88" s="678"/>
      <c r="AN88" s="828"/>
      <c r="AO88" s="827"/>
      <c r="AP88" s="827"/>
      <c r="AQ88" s="827"/>
      <c r="AR88" s="827">
        <v>2</v>
      </c>
      <c r="AS88" s="827">
        <v>1</v>
      </c>
      <c r="AT88" s="827">
        <v>1</v>
      </c>
      <c r="AU88" s="827"/>
      <c r="AV88" s="842"/>
      <c r="AW88" s="423"/>
      <c r="AY88" s="534">
        <f>SUM(AI88:AM88)</f>
        <v>2</v>
      </c>
      <c r="AZ88" s="534">
        <f t="shared" si="12"/>
        <v>4</v>
      </c>
      <c r="BA88" s="196" t="str">
        <f t="shared" ca="1" si="10"/>
        <v>1nam,7thang,11ngay.</v>
      </c>
    </row>
    <row r="89" spans="1:53" x14ac:dyDescent="0.25">
      <c r="A89" s="423">
        <f t="shared" si="11"/>
        <v>86</v>
      </c>
      <c r="B89" s="532" t="s">
        <v>779</v>
      </c>
      <c r="C89" s="620">
        <v>43159</v>
      </c>
      <c r="D89" s="597"/>
      <c r="E89" s="597"/>
      <c r="F89" s="597"/>
      <c r="G89" s="597"/>
      <c r="H89" s="597"/>
      <c r="I89" s="597"/>
      <c r="J89" s="597"/>
      <c r="K89" s="597"/>
      <c r="L89" s="597"/>
      <c r="M89" s="597"/>
      <c r="N89" s="597"/>
      <c r="O89" s="597"/>
      <c r="P89" s="598"/>
      <c r="Q89" s="598"/>
      <c r="R89" s="598"/>
      <c r="S89" s="598"/>
      <c r="T89" s="598"/>
      <c r="U89" s="598"/>
      <c r="V89" s="598"/>
      <c r="W89" s="599"/>
      <c r="X89" s="598"/>
      <c r="Y89" s="598"/>
      <c r="Z89" s="598"/>
      <c r="AA89" s="598"/>
      <c r="AB89" s="678"/>
      <c r="AC89" s="678"/>
      <c r="AD89" s="678"/>
      <c r="AE89" s="678"/>
      <c r="AF89" s="678"/>
      <c r="AG89" s="678"/>
      <c r="AH89" s="678"/>
      <c r="AI89" s="679"/>
      <c r="AJ89" s="678"/>
      <c r="AK89" s="678">
        <v>2</v>
      </c>
      <c r="AL89" s="826"/>
      <c r="AM89" s="678"/>
      <c r="AN89" s="828"/>
      <c r="AO89" s="827"/>
      <c r="AP89" s="827"/>
      <c r="AQ89" s="827"/>
      <c r="AR89" s="827"/>
      <c r="AS89" s="827"/>
      <c r="AT89" s="827"/>
      <c r="AU89" s="827"/>
      <c r="AV89" s="842"/>
      <c r="AW89" s="423"/>
      <c r="AY89" s="534">
        <f>SUM(AI89:AM89)</f>
        <v>2</v>
      </c>
      <c r="AZ89" s="534">
        <f t="shared" si="12"/>
        <v>0</v>
      </c>
      <c r="BA89" s="196" t="str">
        <f t="shared" ca="1" si="10"/>
        <v>1nam,7thang,11ngay.</v>
      </c>
    </row>
    <row r="90" spans="1:53" x14ac:dyDescent="0.25">
      <c r="A90" s="423">
        <f t="shared" si="11"/>
        <v>87</v>
      </c>
      <c r="B90" s="532" t="s">
        <v>780</v>
      </c>
      <c r="C90" s="620">
        <v>43159</v>
      </c>
      <c r="D90" s="597"/>
      <c r="E90" s="597"/>
      <c r="F90" s="597"/>
      <c r="G90" s="597"/>
      <c r="H90" s="597"/>
      <c r="I90" s="597"/>
      <c r="J90" s="597"/>
      <c r="K90" s="597"/>
      <c r="L90" s="597"/>
      <c r="M90" s="597"/>
      <c r="N90" s="597"/>
      <c r="O90" s="597"/>
      <c r="P90" s="598"/>
      <c r="Q90" s="598"/>
      <c r="R90" s="598"/>
      <c r="S90" s="598"/>
      <c r="T90" s="598"/>
      <c r="U90" s="598"/>
      <c r="V90" s="598"/>
      <c r="W90" s="599"/>
      <c r="X90" s="598"/>
      <c r="Y90" s="598"/>
      <c r="Z90" s="598"/>
      <c r="AA90" s="598"/>
      <c r="AB90" s="678"/>
      <c r="AC90" s="678"/>
      <c r="AD90" s="678"/>
      <c r="AE90" s="678"/>
      <c r="AF90" s="678"/>
      <c r="AG90" s="678"/>
      <c r="AH90" s="678"/>
      <c r="AI90" s="679"/>
      <c r="AJ90" s="678"/>
      <c r="AK90" s="678"/>
      <c r="AL90" s="826">
        <v>1</v>
      </c>
      <c r="AM90" s="678">
        <v>1</v>
      </c>
      <c r="AN90" s="828">
        <v>1</v>
      </c>
      <c r="AO90" s="827"/>
      <c r="AP90" s="827">
        <v>1</v>
      </c>
      <c r="AQ90" s="827"/>
      <c r="AR90" s="827">
        <v>1</v>
      </c>
      <c r="AS90" s="827">
        <v>1</v>
      </c>
      <c r="AT90" s="827">
        <v>1</v>
      </c>
      <c r="AU90" s="827"/>
      <c r="AV90" s="842"/>
      <c r="AW90" s="423"/>
      <c r="AY90" s="534">
        <f>SUM(AI90:AP90)</f>
        <v>4</v>
      </c>
      <c r="AZ90" s="534">
        <f t="shared" si="12"/>
        <v>5</v>
      </c>
      <c r="BA90" s="196" t="str">
        <f t="shared" ca="1" si="10"/>
        <v>1nam,7thang,11ngay.</v>
      </c>
    </row>
    <row r="91" spans="1:53" x14ac:dyDescent="0.25">
      <c r="A91" s="423">
        <f t="shared" si="11"/>
        <v>88</v>
      </c>
      <c r="B91" s="532" t="s">
        <v>781</v>
      </c>
      <c r="C91" s="620">
        <v>43213</v>
      </c>
      <c r="D91" s="597"/>
      <c r="E91" s="597"/>
      <c r="F91" s="597"/>
      <c r="G91" s="597"/>
      <c r="H91" s="597"/>
      <c r="I91" s="597"/>
      <c r="J91" s="597"/>
      <c r="K91" s="597"/>
      <c r="L91" s="597"/>
      <c r="M91" s="597"/>
      <c r="N91" s="597"/>
      <c r="O91" s="597"/>
      <c r="P91" s="598"/>
      <c r="Q91" s="598"/>
      <c r="R91" s="598"/>
      <c r="S91" s="598"/>
      <c r="T91" s="598"/>
      <c r="U91" s="598"/>
      <c r="V91" s="598"/>
      <c r="W91" s="599"/>
      <c r="X91" s="598"/>
      <c r="Y91" s="598"/>
      <c r="Z91" s="598"/>
      <c r="AA91" s="598"/>
      <c r="AB91" s="678"/>
      <c r="AC91" s="678"/>
      <c r="AD91" s="678"/>
      <c r="AE91" s="678"/>
      <c r="AF91" s="678"/>
      <c r="AG91" s="678"/>
      <c r="AH91" s="678"/>
      <c r="AI91" s="679"/>
      <c r="AJ91" s="678"/>
      <c r="AK91" s="678"/>
      <c r="AL91" s="826"/>
      <c r="AM91" s="678"/>
      <c r="AN91" s="828"/>
      <c r="AO91" s="827"/>
      <c r="AP91" s="827"/>
      <c r="AQ91" s="827"/>
      <c r="AR91" s="827"/>
      <c r="AS91" s="827">
        <v>1</v>
      </c>
      <c r="AT91" s="827"/>
      <c r="AU91" s="827"/>
      <c r="AV91" s="842"/>
      <c r="AW91" s="423"/>
      <c r="AY91" s="534">
        <f>SUM(AI91:AM91)</f>
        <v>0</v>
      </c>
      <c r="AZ91" s="534">
        <f t="shared" si="12"/>
        <v>1</v>
      </c>
      <c r="BA91" s="196" t="str">
        <f t="shared" ca="1" si="10"/>
        <v>1nam,5thang,16ngay.</v>
      </c>
    </row>
    <row r="92" spans="1:53" x14ac:dyDescent="0.25">
      <c r="A92" s="423">
        <f t="shared" si="11"/>
        <v>89</v>
      </c>
      <c r="B92" s="532" t="s">
        <v>782</v>
      </c>
      <c r="C92" s="620">
        <v>43213</v>
      </c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8"/>
      <c r="Q92" s="598"/>
      <c r="R92" s="598"/>
      <c r="S92" s="598"/>
      <c r="T92" s="598"/>
      <c r="U92" s="598"/>
      <c r="V92" s="598"/>
      <c r="W92" s="599"/>
      <c r="X92" s="598"/>
      <c r="Y92" s="598"/>
      <c r="Z92" s="598"/>
      <c r="AA92" s="598"/>
      <c r="AB92" s="678"/>
      <c r="AC92" s="678"/>
      <c r="AD92" s="678"/>
      <c r="AE92" s="678"/>
      <c r="AF92" s="678"/>
      <c r="AG92" s="678"/>
      <c r="AH92" s="678"/>
      <c r="AI92" s="679">
        <v>4</v>
      </c>
      <c r="AJ92" s="678"/>
      <c r="AK92" s="678">
        <v>2</v>
      </c>
      <c r="AL92" s="826"/>
      <c r="AM92" s="678">
        <v>2</v>
      </c>
      <c r="AN92" s="828">
        <v>1</v>
      </c>
      <c r="AO92" s="827"/>
      <c r="AP92" s="827">
        <v>2</v>
      </c>
      <c r="AQ92" s="827">
        <v>1</v>
      </c>
      <c r="AR92" s="827"/>
      <c r="AS92" s="827"/>
      <c r="AT92" s="827">
        <v>1</v>
      </c>
      <c r="AU92" s="827"/>
      <c r="AV92" s="842"/>
      <c r="AW92" s="423"/>
      <c r="AY92" s="534">
        <f>SUM(AI92:AQ92)</f>
        <v>12</v>
      </c>
      <c r="AZ92" s="534">
        <f t="shared" si="12"/>
        <v>5</v>
      </c>
      <c r="BA92" s="196" t="str">
        <f t="shared" ca="1" si="10"/>
        <v>1nam,5thang,16ngay.</v>
      </c>
    </row>
    <row r="93" spans="1:53" x14ac:dyDescent="0.25">
      <c r="A93" s="423">
        <f t="shared" si="11"/>
        <v>90</v>
      </c>
      <c r="B93" s="532" t="s">
        <v>785</v>
      </c>
      <c r="C93" s="620">
        <v>43230</v>
      </c>
      <c r="D93" s="738"/>
      <c r="E93" s="738"/>
      <c r="F93" s="738"/>
      <c r="G93" s="738"/>
      <c r="H93" s="738"/>
      <c r="I93" s="738"/>
      <c r="J93" s="738"/>
      <c r="K93" s="738"/>
      <c r="L93" s="738"/>
      <c r="M93" s="738"/>
      <c r="N93" s="738"/>
      <c r="O93" s="738"/>
      <c r="P93" s="598"/>
      <c r="Q93" s="598"/>
      <c r="R93" s="598"/>
      <c r="S93" s="598"/>
      <c r="T93" s="598"/>
      <c r="U93" s="598"/>
      <c r="V93" s="598"/>
      <c r="W93" s="599"/>
      <c r="X93" s="598"/>
      <c r="Y93" s="598"/>
      <c r="Z93" s="598"/>
      <c r="AA93" s="598"/>
      <c r="AB93" s="678"/>
      <c r="AC93" s="678"/>
      <c r="AD93" s="678"/>
      <c r="AE93" s="678"/>
      <c r="AF93" s="678"/>
      <c r="AG93" s="678"/>
      <c r="AH93" s="678"/>
      <c r="AI93" s="679"/>
      <c r="AJ93" s="678"/>
      <c r="AK93" s="678">
        <v>1</v>
      </c>
      <c r="AL93" s="826"/>
      <c r="AM93" s="678">
        <v>1</v>
      </c>
      <c r="AN93" s="828"/>
      <c r="AO93" s="827"/>
      <c r="AP93" s="827"/>
      <c r="AQ93" s="827"/>
      <c r="AR93" s="827">
        <v>1</v>
      </c>
      <c r="AS93" s="827">
        <v>2</v>
      </c>
      <c r="AT93" s="827">
        <v>2</v>
      </c>
      <c r="AU93" s="827"/>
      <c r="AV93" s="842"/>
      <c r="AW93" s="423"/>
      <c r="AY93" s="534">
        <f>SUM(AI93:AM93)</f>
        <v>2</v>
      </c>
      <c r="AZ93" s="534">
        <f t="shared" si="12"/>
        <v>5</v>
      </c>
      <c r="BA93" s="196" t="str">
        <f t="shared" ca="1" si="10"/>
        <v>1nam,4thang,29ngay.</v>
      </c>
    </row>
    <row r="94" spans="1:53" x14ac:dyDescent="0.25">
      <c r="A94" s="423">
        <f t="shared" si="11"/>
        <v>91</v>
      </c>
      <c r="B94" s="532" t="s">
        <v>784</v>
      </c>
      <c r="C94" s="620">
        <v>43232</v>
      </c>
      <c r="D94" s="597"/>
      <c r="E94" s="597"/>
      <c r="F94" s="597"/>
      <c r="G94" s="597"/>
      <c r="H94" s="597"/>
      <c r="I94" s="597"/>
      <c r="J94" s="597"/>
      <c r="K94" s="597"/>
      <c r="L94" s="597"/>
      <c r="M94" s="597"/>
      <c r="N94" s="597"/>
      <c r="O94" s="597"/>
      <c r="P94" s="598"/>
      <c r="Q94" s="598"/>
      <c r="R94" s="598"/>
      <c r="S94" s="598"/>
      <c r="T94" s="598"/>
      <c r="U94" s="598"/>
      <c r="V94" s="598"/>
      <c r="W94" s="599"/>
      <c r="X94" s="598"/>
      <c r="Y94" s="598"/>
      <c r="Z94" s="598"/>
      <c r="AA94" s="598"/>
      <c r="AB94" s="678"/>
      <c r="AC94" s="678"/>
      <c r="AD94" s="678"/>
      <c r="AE94" s="678"/>
      <c r="AF94" s="678"/>
      <c r="AG94" s="678"/>
      <c r="AH94" s="678"/>
      <c r="AI94" s="679"/>
      <c r="AJ94" s="678"/>
      <c r="AK94" s="678">
        <v>4</v>
      </c>
      <c r="AL94" s="826"/>
      <c r="AM94" s="678">
        <v>3</v>
      </c>
      <c r="AN94" s="828"/>
      <c r="AO94" s="827">
        <v>3</v>
      </c>
      <c r="AP94" s="827"/>
      <c r="AQ94" s="827">
        <v>2</v>
      </c>
      <c r="AR94" s="827"/>
      <c r="AS94" s="827"/>
      <c r="AT94" s="827">
        <v>1</v>
      </c>
      <c r="AU94" s="827"/>
      <c r="AV94" s="842"/>
      <c r="AW94" s="423"/>
      <c r="AY94" s="534">
        <f>SUM(AI94:AM94)</f>
        <v>7</v>
      </c>
      <c r="AZ94" s="534">
        <f t="shared" si="12"/>
        <v>6</v>
      </c>
      <c r="BA94" s="196" t="str">
        <f t="shared" ca="1" si="10"/>
        <v>1nam,4thang,27ngay.</v>
      </c>
    </row>
    <row r="95" spans="1:53" x14ac:dyDescent="0.25">
      <c r="A95" s="423">
        <f t="shared" si="11"/>
        <v>92</v>
      </c>
      <c r="B95" s="532" t="s">
        <v>783</v>
      </c>
      <c r="C95" s="620">
        <v>43232</v>
      </c>
      <c r="D95" s="597"/>
      <c r="E95" s="597"/>
      <c r="F95" s="597"/>
      <c r="G95" s="597"/>
      <c r="H95" s="597"/>
      <c r="I95" s="597"/>
      <c r="J95" s="597"/>
      <c r="K95" s="597"/>
      <c r="L95" s="597"/>
      <c r="M95" s="597"/>
      <c r="N95" s="597"/>
      <c r="O95" s="597"/>
      <c r="P95" s="598"/>
      <c r="Q95" s="598"/>
      <c r="R95" s="598"/>
      <c r="S95" s="598"/>
      <c r="T95" s="598"/>
      <c r="U95" s="598"/>
      <c r="V95" s="598"/>
      <c r="W95" s="599"/>
      <c r="X95" s="598"/>
      <c r="Y95" s="598"/>
      <c r="Z95" s="598"/>
      <c r="AA95" s="598"/>
      <c r="AB95" s="678"/>
      <c r="AC95" s="678"/>
      <c r="AD95" s="678"/>
      <c r="AE95" s="678"/>
      <c r="AF95" s="678"/>
      <c r="AG95" s="678"/>
      <c r="AH95" s="678"/>
      <c r="AI95" s="679"/>
      <c r="AJ95" s="678">
        <v>1</v>
      </c>
      <c r="AK95" s="678">
        <v>2</v>
      </c>
      <c r="AL95" s="826">
        <v>2</v>
      </c>
      <c r="AM95" s="678">
        <v>3</v>
      </c>
      <c r="AN95" s="828">
        <v>2</v>
      </c>
      <c r="AO95" s="827"/>
      <c r="AP95" s="827">
        <v>3</v>
      </c>
      <c r="AQ95" s="827"/>
      <c r="AR95" s="827"/>
      <c r="AS95" s="827"/>
      <c r="AT95" s="827">
        <v>1</v>
      </c>
      <c r="AU95" s="827"/>
      <c r="AV95" s="842"/>
      <c r="AW95" s="423"/>
      <c r="AY95" s="534">
        <f>SUM(AI95:AQ95)</f>
        <v>13</v>
      </c>
      <c r="AZ95" s="534">
        <f t="shared" si="12"/>
        <v>6</v>
      </c>
      <c r="BA95" s="196" t="str">
        <f t="shared" ca="1" si="10"/>
        <v>1nam,4thang,27ngay.</v>
      </c>
    </row>
    <row r="96" spans="1:53" x14ac:dyDescent="0.25">
      <c r="A96" s="423">
        <f t="shared" si="11"/>
        <v>93</v>
      </c>
      <c r="B96" s="532" t="s">
        <v>787</v>
      </c>
      <c r="C96" s="620">
        <v>43248</v>
      </c>
      <c r="D96" s="821"/>
      <c r="E96" s="821"/>
      <c r="F96" s="821"/>
      <c r="G96" s="821"/>
      <c r="H96" s="821"/>
      <c r="I96" s="821"/>
      <c r="J96" s="821"/>
      <c r="K96" s="821"/>
      <c r="L96" s="821"/>
      <c r="M96" s="821"/>
      <c r="N96" s="821"/>
      <c r="O96" s="821"/>
      <c r="P96" s="598"/>
      <c r="Q96" s="598"/>
      <c r="R96" s="598"/>
      <c r="S96" s="598"/>
      <c r="T96" s="598"/>
      <c r="U96" s="598"/>
      <c r="V96" s="598"/>
      <c r="W96" s="599"/>
      <c r="X96" s="598"/>
      <c r="Y96" s="598"/>
      <c r="Z96" s="598"/>
      <c r="AA96" s="598"/>
      <c r="AB96" s="598"/>
      <c r="AC96" s="598"/>
      <c r="AD96" s="598"/>
      <c r="AE96" s="598"/>
      <c r="AF96" s="598"/>
      <c r="AG96" s="598"/>
      <c r="AH96" s="598"/>
      <c r="AI96" s="599"/>
      <c r="AJ96" s="598"/>
      <c r="AK96" s="678">
        <v>1</v>
      </c>
      <c r="AL96" s="826">
        <v>1</v>
      </c>
      <c r="AM96" s="678"/>
      <c r="AN96" s="828"/>
      <c r="AO96" s="827">
        <v>1</v>
      </c>
      <c r="AP96" s="827">
        <v>1</v>
      </c>
      <c r="AQ96" s="827">
        <v>2</v>
      </c>
      <c r="AR96" s="827">
        <v>1</v>
      </c>
      <c r="AS96" s="827">
        <v>1</v>
      </c>
      <c r="AT96" s="827"/>
      <c r="AU96" s="827">
        <v>3</v>
      </c>
      <c r="AV96" s="842"/>
      <c r="AW96" s="423"/>
      <c r="AY96" s="534">
        <f>SUM(AI96:AS96)</f>
        <v>8</v>
      </c>
      <c r="AZ96" s="534">
        <f t="shared" si="12"/>
        <v>9</v>
      </c>
      <c r="BA96" s="196" t="str">
        <f t="shared" ca="1" si="10"/>
        <v>1nam,4thang,11ngay.</v>
      </c>
    </row>
    <row r="97" spans="1:53" x14ac:dyDescent="0.25">
      <c r="A97" s="423">
        <f t="shared" si="11"/>
        <v>94</v>
      </c>
      <c r="B97" s="532" t="s">
        <v>42</v>
      </c>
      <c r="C97" s="620">
        <v>43246</v>
      </c>
      <c r="D97" s="821"/>
      <c r="E97" s="821"/>
      <c r="F97" s="821"/>
      <c r="G97" s="821"/>
      <c r="H97" s="821"/>
      <c r="I97" s="821"/>
      <c r="J97" s="821"/>
      <c r="K97" s="821"/>
      <c r="L97" s="821"/>
      <c r="M97" s="821"/>
      <c r="N97" s="821"/>
      <c r="O97" s="821"/>
      <c r="P97" s="598"/>
      <c r="Q97" s="598"/>
      <c r="R97" s="598"/>
      <c r="S97" s="598"/>
      <c r="T97" s="598"/>
      <c r="U97" s="598"/>
      <c r="V97" s="598"/>
      <c r="W97" s="599"/>
      <c r="X97" s="598"/>
      <c r="Y97" s="598"/>
      <c r="Z97" s="598"/>
      <c r="AA97" s="598"/>
      <c r="AB97" s="598"/>
      <c r="AC97" s="598"/>
      <c r="AD97" s="598"/>
      <c r="AE97" s="598"/>
      <c r="AF97" s="598"/>
      <c r="AG97" s="598"/>
      <c r="AH97" s="598"/>
      <c r="AI97" s="599"/>
      <c r="AJ97" s="598"/>
      <c r="AK97" s="678">
        <v>1</v>
      </c>
      <c r="AL97" s="826"/>
      <c r="AM97" s="678"/>
      <c r="AN97" s="828"/>
      <c r="AO97" s="827"/>
      <c r="AP97" s="827"/>
      <c r="AQ97" s="827"/>
      <c r="AR97" s="827"/>
      <c r="AS97" s="827"/>
      <c r="AT97" s="827"/>
      <c r="AU97" s="827"/>
      <c r="AV97" s="842"/>
      <c r="AW97" s="423"/>
      <c r="AY97" s="534">
        <f>SUM(AI97:AM97)</f>
        <v>1</v>
      </c>
      <c r="AZ97" s="534">
        <f t="shared" si="12"/>
        <v>0</v>
      </c>
      <c r="BA97" s="196" t="str">
        <f t="shared" ca="1" si="10"/>
        <v>1nam,4thang,13ngay.</v>
      </c>
    </row>
    <row r="98" spans="1:53" x14ac:dyDescent="0.25">
      <c r="A98" s="423">
        <f t="shared" si="11"/>
        <v>95</v>
      </c>
      <c r="B98" s="532" t="s">
        <v>788</v>
      </c>
      <c r="C98" s="879">
        <v>43248</v>
      </c>
      <c r="D98" s="821"/>
      <c r="E98" s="821"/>
      <c r="F98" s="821"/>
      <c r="G98" s="821"/>
      <c r="H98" s="821"/>
      <c r="I98" s="821"/>
      <c r="J98" s="821"/>
      <c r="K98" s="821"/>
      <c r="L98" s="821"/>
      <c r="M98" s="821"/>
      <c r="N98" s="821"/>
      <c r="O98" s="821"/>
      <c r="P98" s="598"/>
      <c r="Q98" s="598"/>
      <c r="R98" s="598"/>
      <c r="S98" s="598"/>
      <c r="T98" s="598"/>
      <c r="U98" s="598"/>
      <c r="V98" s="598"/>
      <c r="W98" s="599"/>
      <c r="X98" s="598"/>
      <c r="Y98" s="598"/>
      <c r="Z98" s="598"/>
      <c r="AA98" s="598"/>
      <c r="AB98" s="598"/>
      <c r="AC98" s="598"/>
      <c r="AD98" s="598"/>
      <c r="AE98" s="598"/>
      <c r="AF98" s="598"/>
      <c r="AG98" s="598"/>
      <c r="AH98" s="598"/>
      <c r="AI98" s="599"/>
      <c r="AJ98" s="598"/>
      <c r="AK98" s="678">
        <v>1</v>
      </c>
      <c r="AL98" s="826">
        <v>1</v>
      </c>
      <c r="AM98" s="678">
        <v>5</v>
      </c>
      <c r="AN98" s="828">
        <v>3</v>
      </c>
      <c r="AO98" s="827">
        <v>1</v>
      </c>
      <c r="AP98" s="827">
        <v>3</v>
      </c>
      <c r="AQ98" s="827"/>
      <c r="AR98" s="827"/>
      <c r="AS98" s="827"/>
      <c r="AT98" s="827">
        <v>1</v>
      </c>
      <c r="AU98" s="827">
        <v>1</v>
      </c>
      <c r="AV98" s="842"/>
      <c r="AW98" s="423"/>
      <c r="AY98" s="534">
        <f>SUM(AI98:AO98)</f>
        <v>11</v>
      </c>
      <c r="AZ98" s="534">
        <f t="shared" si="12"/>
        <v>9</v>
      </c>
      <c r="BA98" s="196" t="str">
        <f t="shared" ref="BA98:BA109" ca="1" si="15">DATEDIF(C98,$BB$1,"Y")&amp;"nam,"&amp;DATEDIF(C98,$BB$1,"YM")&amp;"thang,"&amp;DATEDIF(C98,$BB$1,"MD")&amp;"ngay."</f>
        <v>1nam,4thang,11ngay.</v>
      </c>
    </row>
    <row r="99" spans="1:53" x14ac:dyDescent="0.25">
      <c r="A99" s="423">
        <f t="shared" si="11"/>
        <v>96</v>
      </c>
      <c r="B99" s="532" t="s">
        <v>830</v>
      </c>
      <c r="C99" s="620">
        <v>43413</v>
      </c>
      <c r="D99" s="878"/>
      <c r="E99" s="859"/>
      <c r="F99" s="859"/>
      <c r="G99" s="859"/>
      <c r="H99" s="859"/>
      <c r="I99" s="859"/>
      <c r="J99" s="859"/>
      <c r="K99" s="859"/>
      <c r="L99" s="859"/>
      <c r="M99" s="859"/>
      <c r="N99" s="859"/>
      <c r="O99" s="859"/>
      <c r="P99" s="598"/>
      <c r="Q99" s="598"/>
      <c r="R99" s="598"/>
      <c r="S99" s="598"/>
      <c r="T99" s="598"/>
      <c r="U99" s="598"/>
      <c r="V99" s="598"/>
      <c r="W99" s="599"/>
      <c r="X99" s="598"/>
      <c r="Y99" s="598"/>
      <c r="Z99" s="598"/>
      <c r="AA99" s="598"/>
      <c r="AB99" s="598"/>
      <c r="AC99" s="598"/>
      <c r="AD99" s="598"/>
      <c r="AE99" s="598"/>
      <c r="AF99" s="598"/>
      <c r="AG99" s="598"/>
      <c r="AH99" s="598"/>
      <c r="AI99" s="599"/>
      <c r="AJ99" s="598"/>
      <c r="AK99" s="678"/>
      <c r="AL99" s="858"/>
      <c r="AM99" s="678"/>
      <c r="AN99" s="828"/>
      <c r="AO99" s="827"/>
      <c r="AP99" s="827">
        <v>1</v>
      </c>
      <c r="AQ99" s="827"/>
      <c r="AR99" s="827">
        <v>3</v>
      </c>
      <c r="AS99" s="827">
        <v>2</v>
      </c>
      <c r="AT99" s="827"/>
      <c r="AU99" s="827"/>
      <c r="AV99" s="842"/>
      <c r="AW99" s="423"/>
      <c r="AY99" s="423"/>
      <c r="AZ99" s="534">
        <f t="shared" si="12"/>
        <v>6</v>
      </c>
      <c r="BA99" s="196" t="str">
        <f t="shared" ca="1" si="15"/>
        <v>0nam,11thang,0ngay.</v>
      </c>
    </row>
    <row r="100" spans="1:53" x14ac:dyDescent="0.25">
      <c r="A100" s="423">
        <f t="shared" si="11"/>
        <v>97</v>
      </c>
      <c r="B100" s="532" t="s">
        <v>831</v>
      </c>
      <c r="C100" s="620">
        <v>42390</v>
      </c>
      <c r="AN100" s="828"/>
      <c r="AO100" s="827"/>
      <c r="AP100" s="827">
        <v>1</v>
      </c>
      <c r="AQ100" s="827">
        <v>1</v>
      </c>
      <c r="AR100" s="827">
        <v>3</v>
      </c>
      <c r="AS100" s="827">
        <v>1</v>
      </c>
      <c r="AT100" s="827"/>
      <c r="AU100" s="827"/>
      <c r="AV100" s="842"/>
      <c r="AW100" s="423"/>
      <c r="AY100" s="423"/>
      <c r="AZ100" s="534">
        <f t="shared" si="12"/>
        <v>6</v>
      </c>
      <c r="BA100" s="196" t="str">
        <f t="shared" ca="1" si="15"/>
        <v>3nam,8thang,18ngay.</v>
      </c>
    </row>
    <row r="101" spans="1:53" x14ac:dyDescent="0.25">
      <c r="A101" s="423">
        <f t="shared" si="11"/>
        <v>98</v>
      </c>
      <c r="B101" s="532" t="s">
        <v>832</v>
      </c>
      <c r="C101" s="620">
        <v>43427</v>
      </c>
      <c r="AN101" s="828"/>
      <c r="AO101" s="827"/>
      <c r="AP101" s="827">
        <v>1</v>
      </c>
      <c r="AQ101" s="827"/>
      <c r="AR101" s="827">
        <v>1</v>
      </c>
      <c r="AS101" s="827">
        <v>1</v>
      </c>
      <c r="AT101" s="827">
        <v>1</v>
      </c>
      <c r="AU101" s="827"/>
      <c r="AV101" s="842"/>
      <c r="AW101" s="423"/>
      <c r="AY101" s="423"/>
      <c r="AZ101" s="534">
        <f t="shared" si="12"/>
        <v>4</v>
      </c>
      <c r="BA101" s="196" t="str">
        <f t="shared" ca="1" si="15"/>
        <v>0nam,10thang,16ngay.</v>
      </c>
    </row>
    <row r="102" spans="1:53" x14ac:dyDescent="0.25">
      <c r="A102" s="423">
        <f t="shared" si="11"/>
        <v>99</v>
      </c>
      <c r="B102" s="532" t="s">
        <v>833</v>
      </c>
      <c r="C102" s="620">
        <v>43418</v>
      </c>
      <c r="AN102" s="828"/>
      <c r="AO102" s="827"/>
      <c r="AP102" s="827">
        <v>1</v>
      </c>
      <c r="AQ102" s="827"/>
      <c r="AR102" s="827">
        <v>2</v>
      </c>
      <c r="AS102" s="827">
        <v>1</v>
      </c>
      <c r="AT102" s="827">
        <v>4</v>
      </c>
      <c r="AU102" s="827"/>
      <c r="AV102" s="842"/>
      <c r="AW102" s="423"/>
      <c r="AY102" s="423"/>
      <c r="AZ102" s="534">
        <f t="shared" si="12"/>
        <v>8</v>
      </c>
      <c r="BA102" s="196" t="str">
        <f t="shared" ca="1" si="15"/>
        <v>0nam,10thang,25ngay.</v>
      </c>
    </row>
    <row r="103" spans="1:53" x14ac:dyDescent="0.25">
      <c r="A103" s="423">
        <f t="shared" si="11"/>
        <v>100</v>
      </c>
      <c r="B103" s="532" t="s">
        <v>820</v>
      </c>
      <c r="C103" s="620">
        <v>43453</v>
      </c>
      <c r="AN103" s="828"/>
      <c r="AO103" s="827"/>
      <c r="AP103" s="827">
        <v>1</v>
      </c>
      <c r="AQ103" s="827"/>
      <c r="AR103" s="827"/>
      <c r="AS103" s="827"/>
      <c r="AT103" s="827"/>
      <c r="AU103" s="827"/>
      <c r="AV103" s="842"/>
      <c r="AW103" s="423"/>
      <c r="AY103" s="423"/>
      <c r="AZ103" s="534">
        <f t="shared" si="12"/>
        <v>1</v>
      </c>
      <c r="BA103" s="196" t="str">
        <f t="shared" ca="1" si="15"/>
        <v>0nam,9thang,20ngay.</v>
      </c>
    </row>
    <row r="104" spans="1:53" x14ac:dyDescent="0.25">
      <c r="A104" s="423">
        <f t="shared" si="11"/>
        <v>101</v>
      </c>
      <c r="B104" s="532" t="s">
        <v>866</v>
      </c>
      <c r="C104" s="620">
        <v>43430</v>
      </c>
      <c r="AN104" s="828"/>
      <c r="AO104" s="827"/>
      <c r="AP104" s="827"/>
      <c r="AQ104" s="827">
        <v>2</v>
      </c>
      <c r="AR104" s="827"/>
      <c r="AS104" s="827">
        <v>1</v>
      </c>
      <c r="AT104" s="827"/>
      <c r="AU104" s="827"/>
      <c r="AV104" s="842"/>
      <c r="AW104" s="423"/>
      <c r="AY104" s="423"/>
      <c r="AZ104" s="534">
        <f t="shared" si="12"/>
        <v>3</v>
      </c>
      <c r="BA104" s="196" t="str">
        <f t="shared" ca="1" si="15"/>
        <v>0nam,10thang,13ngay.</v>
      </c>
    </row>
    <row r="105" spans="1:53" x14ac:dyDescent="0.25">
      <c r="A105" s="423">
        <f t="shared" si="11"/>
        <v>102</v>
      </c>
      <c r="B105" s="532" t="s">
        <v>867</v>
      </c>
      <c r="C105" s="620">
        <v>43413</v>
      </c>
      <c r="AN105" s="828"/>
      <c r="AO105" s="827"/>
      <c r="AP105" s="827"/>
      <c r="AQ105" s="827">
        <v>3</v>
      </c>
      <c r="AR105" s="827"/>
      <c r="AS105" s="827">
        <v>2</v>
      </c>
      <c r="AT105" s="827">
        <v>2</v>
      </c>
      <c r="AU105" s="827">
        <v>1</v>
      </c>
      <c r="AV105" s="842"/>
      <c r="AW105" s="423"/>
      <c r="AY105" s="423"/>
      <c r="AZ105" s="534">
        <f t="shared" si="12"/>
        <v>8</v>
      </c>
      <c r="BA105" s="196" t="str">
        <f t="shared" ca="1" si="15"/>
        <v>0nam,11thang,0ngay.</v>
      </c>
    </row>
    <row r="106" spans="1:53" x14ac:dyDescent="0.25">
      <c r="A106" s="423">
        <f t="shared" si="11"/>
        <v>103</v>
      </c>
      <c r="B106" s="532" t="s">
        <v>868</v>
      </c>
      <c r="C106" s="620">
        <v>43522</v>
      </c>
      <c r="AN106" s="828"/>
      <c r="AO106" s="827"/>
      <c r="AP106" s="827"/>
      <c r="AQ106" s="827">
        <v>1</v>
      </c>
      <c r="AR106" s="827">
        <v>2</v>
      </c>
      <c r="AS106" s="827">
        <v>1</v>
      </c>
      <c r="AT106" s="827"/>
      <c r="AU106" s="827">
        <v>2</v>
      </c>
      <c r="AV106" s="842"/>
      <c r="AW106" s="423"/>
      <c r="AY106" s="423"/>
      <c r="AZ106" s="534">
        <f t="shared" si="12"/>
        <v>6</v>
      </c>
      <c r="BA106" s="196" t="str">
        <f t="shared" ca="1" si="15"/>
        <v>0nam,7thang,13ngay.</v>
      </c>
    </row>
    <row r="107" spans="1:53" x14ac:dyDescent="0.25">
      <c r="A107" s="423">
        <f t="shared" si="11"/>
        <v>104</v>
      </c>
      <c r="B107" s="532" t="s">
        <v>829</v>
      </c>
      <c r="C107" s="620">
        <v>43523</v>
      </c>
      <c r="AN107" s="828"/>
      <c r="AO107" s="827"/>
      <c r="AP107" s="827"/>
      <c r="AQ107" s="827"/>
      <c r="AR107" s="827"/>
      <c r="AS107" s="827">
        <v>1</v>
      </c>
      <c r="AT107" s="827">
        <v>4</v>
      </c>
      <c r="AU107" s="827">
        <v>1</v>
      </c>
      <c r="AV107" s="842"/>
      <c r="AW107" s="423"/>
      <c r="AY107" s="423"/>
      <c r="AZ107" s="534">
        <f t="shared" si="12"/>
        <v>6</v>
      </c>
      <c r="BA107" s="196" t="str">
        <f t="shared" ca="1" si="15"/>
        <v>0nam,7thang,12ngay.</v>
      </c>
    </row>
    <row r="108" spans="1:53" x14ac:dyDescent="0.25">
      <c r="A108" s="423"/>
      <c r="B108" s="532" t="s">
        <v>889</v>
      </c>
      <c r="C108" s="620">
        <v>43523</v>
      </c>
      <c r="AN108" s="828"/>
      <c r="AO108" s="827"/>
      <c r="AP108" s="827"/>
      <c r="AQ108" s="827"/>
      <c r="AR108" s="827"/>
      <c r="AS108" s="827">
        <v>4</v>
      </c>
      <c r="AT108" s="827"/>
      <c r="AU108" s="827"/>
      <c r="AV108" s="842"/>
      <c r="AW108" s="423"/>
      <c r="AY108" s="423"/>
      <c r="AZ108" s="534">
        <f t="shared" si="12"/>
        <v>4</v>
      </c>
      <c r="BA108" s="196" t="str">
        <f t="shared" ca="1" si="15"/>
        <v>0nam,7thang,12ngay.</v>
      </c>
    </row>
    <row r="109" spans="1:53" x14ac:dyDescent="0.25">
      <c r="A109" s="423"/>
      <c r="B109" s="532" t="s">
        <v>890</v>
      </c>
      <c r="C109" s="620">
        <v>43474</v>
      </c>
      <c r="AN109" s="828"/>
      <c r="AO109" s="827"/>
      <c r="AP109" s="827"/>
      <c r="AQ109" s="827"/>
      <c r="AR109" s="827"/>
      <c r="AS109" s="827">
        <v>1</v>
      </c>
      <c r="AT109" s="827"/>
      <c r="AU109" s="827"/>
      <c r="AV109" s="842"/>
      <c r="AW109" s="423"/>
      <c r="AY109" s="423"/>
      <c r="AZ109" s="534">
        <f t="shared" si="12"/>
        <v>1</v>
      </c>
      <c r="BA109" s="196" t="str">
        <f t="shared" ca="1" si="15"/>
        <v>0nam,9thang,0ngay.</v>
      </c>
    </row>
    <row r="110" spans="1:53" x14ac:dyDescent="0.25">
      <c r="B110" s="196" t="s">
        <v>913</v>
      </c>
      <c r="AN110" s="828"/>
      <c r="AO110" s="827"/>
      <c r="AP110" s="827"/>
      <c r="AQ110" s="827"/>
      <c r="AR110" s="827"/>
      <c r="AS110" s="827"/>
      <c r="AT110" s="827"/>
      <c r="AU110" s="827">
        <v>1</v>
      </c>
      <c r="AV110" s="842"/>
      <c r="AW110" s="423"/>
      <c r="AY110" s="423"/>
      <c r="AZ110" s="534">
        <f t="shared" ref="AZ110" si="16">SUM(AN110:AU110)</f>
        <v>1</v>
      </c>
      <c r="BA110" s="196" t="str">
        <f t="shared" ref="BA110" ca="1" si="17">DATEDIF(C110,$BB$1,"Y")&amp;"nam,"&amp;DATEDIF(C110,$BB$1,"YM")&amp;"thang,"&amp;DATEDIF(C110,$BB$1,"MD")&amp;"ngay."</f>
        <v>119nam,9thang,9ngay.</v>
      </c>
    </row>
    <row r="111" spans="1:53" x14ac:dyDescent="0.25">
      <c r="B111" s="196" t="s">
        <v>914</v>
      </c>
      <c r="C111" s="926">
        <v>43458</v>
      </c>
      <c r="AN111" s="828"/>
      <c r="AO111" s="827"/>
      <c r="AP111" s="827"/>
      <c r="AQ111" s="827"/>
      <c r="AR111" s="827"/>
      <c r="AS111" s="827"/>
      <c r="AT111" s="827"/>
      <c r="AU111" s="827">
        <v>6</v>
      </c>
      <c r="AV111" s="842"/>
      <c r="AW111" s="423"/>
      <c r="AY111" s="423"/>
      <c r="AZ111" s="534">
        <f t="shared" ref="AZ111" si="18">SUM(AN111:AU111)</f>
        <v>6</v>
      </c>
      <c r="BA111" s="196" t="str">
        <f t="shared" ref="BA111" ca="1" si="19">DATEDIF(C111,$BB$1,"Y")&amp;"nam,"&amp;DATEDIF(C111,$BB$1,"YM")&amp;"thang,"&amp;DATEDIF(C111,$BB$1,"MD")&amp;"ngay."</f>
        <v>0nam,9thang,15ngay.</v>
      </c>
    </row>
  </sheetData>
  <mergeCells count="12">
    <mergeCell ref="AZ2:AZ3"/>
    <mergeCell ref="A1:O1"/>
    <mergeCell ref="A2:A3"/>
    <mergeCell ref="B2:B3"/>
    <mergeCell ref="C2:C3"/>
    <mergeCell ref="P2:AA2"/>
    <mergeCell ref="AY2:AY3"/>
    <mergeCell ref="AB2:AM2"/>
    <mergeCell ref="AX2:AX3"/>
    <mergeCell ref="AV2:AV3"/>
    <mergeCell ref="D2:O2"/>
    <mergeCell ref="AW2:AW3"/>
  </mergeCells>
  <pageMargins left="0.2" right="0" top="0.75" bottom="0.75" header="0.3" footer="0.3"/>
  <pageSetup paperSize="9" scale="86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CQ60"/>
  <sheetViews>
    <sheetView zoomScaleNormal="100" workbookViewId="0">
      <pane xSplit="4" ySplit="4" topLeftCell="BR29" activePane="bottomRight" state="frozen"/>
      <selection pane="topRight" activeCell="E1" sqref="E1"/>
      <selection pane="bottomLeft" activeCell="A5" sqref="A5"/>
      <selection pane="bottomRight" activeCell="BY39" sqref="BY39"/>
    </sheetView>
  </sheetViews>
  <sheetFormatPr defaultColWidth="9.140625" defaultRowHeight="15" x14ac:dyDescent="0.25"/>
  <cols>
    <col min="1" max="1" width="4.7109375" style="426" customWidth="1"/>
    <col min="2" max="2" width="5.5703125" style="539" customWidth="1"/>
    <col min="3" max="3" width="17.140625" style="260" bestFit="1" customWidth="1"/>
    <col min="4" max="4" width="11.42578125" style="260" bestFit="1" customWidth="1"/>
    <col min="5" max="5" width="4.140625" style="937" customWidth="1"/>
    <col min="6" max="6" width="4.140625" style="931" customWidth="1"/>
    <col min="7" max="28" width="4.140625" style="937" customWidth="1"/>
    <col min="29" max="30" width="4.140625" style="931" customWidth="1"/>
    <col min="31" max="35" width="4.140625" style="937" customWidth="1"/>
    <col min="36" max="36" width="7.140625" style="260" customWidth="1"/>
    <col min="37" max="37" width="5.7109375" style="260" customWidth="1"/>
    <col min="38" max="38" width="7" style="260" customWidth="1"/>
    <col min="39" max="39" width="5.5703125" style="260" customWidth="1"/>
    <col min="40" max="40" width="5.140625" style="937" customWidth="1"/>
    <col min="41" max="41" width="4.7109375" style="939" customWidth="1"/>
    <col min="42" max="42" width="5" style="937" customWidth="1"/>
    <col min="43" max="43" width="4.7109375" style="937" customWidth="1"/>
    <col min="44" max="44" width="5.140625" style="937" customWidth="1"/>
    <col min="45" max="45" width="5.28515625" style="937" customWidth="1"/>
    <col min="46" max="46" width="4.7109375" style="937" customWidth="1"/>
    <col min="47" max="47" width="5.140625" style="937" customWidth="1"/>
    <col min="48" max="48" width="4.85546875" style="939" customWidth="1"/>
    <col min="49" max="50" width="4.7109375" style="939" customWidth="1"/>
    <col min="51" max="51" width="5.5703125" style="939" customWidth="1"/>
    <col min="52" max="53" width="4.7109375" style="939" customWidth="1"/>
    <col min="54" max="54" width="5.140625" style="939" customWidth="1"/>
    <col min="55" max="56" width="4.7109375" style="939" customWidth="1"/>
    <col min="57" max="57" width="5.28515625" style="937" customWidth="1"/>
    <col min="58" max="58" width="5.28515625" style="939" customWidth="1"/>
    <col min="59" max="59" width="5.7109375" style="939" customWidth="1"/>
    <col min="60" max="60" width="5.28515625" style="939" customWidth="1"/>
    <col min="61" max="61" width="5" style="937" customWidth="1"/>
    <col min="62" max="62" width="5" style="939" bestFit="1" customWidth="1"/>
    <col min="63" max="63" width="5.28515625" style="937" customWidth="1"/>
    <col min="64" max="64" width="5.42578125" style="937" customWidth="1"/>
    <col min="65" max="65" width="4.5703125" style="937" customWidth="1"/>
    <col min="66" max="66" width="5.140625" style="937" customWidth="1"/>
    <col min="67" max="67" width="5.28515625" style="937" customWidth="1"/>
    <col min="68" max="68" width="5" style="937" customWidth="1"/>
    <col min="69" max="69" width="5.7109375" style="939" customWidth="1"/>
    <col min="70" max="70" width="5.28515625" style="937" customWidth="1"/>
    <col min="71" max="71" width="8.85546875" style="260" customWidth="1"/>
    <col min="72" max="72" width="8.42578125" style="260" customWidth="1"/>
    <col min="73" max="73" width="7.140625" style="260" customWidth="1"/>
    <col min="74" max="74" width="10.42578125" style="260" hidden="1" customWidth="1"/>
    <col min="75" max="75" width="9.28515625" style="260" customWidth="1"/>
    <col min="76" max="76" width="7.85546875" style="260" customWidth="1"/>
    <col min="77" max="77" width="12.85546875" style="260" bestFit="1" customWidth="1"/>
    <col min="78" max="78" width="11.85546875" style="260" bestFit="1" customWidth="1"/>
    <col min="79" max="80" width="12.85546875" style="260" bestFit="1" customWidth="1"/>
    <col min="81" max="16384" width="9.140625" style="260"/>
  </cols>
  <sheetData>
    <row r="1" spans="1:95" ht="24.75" customHeight="1" x14ac:dyDescent="0.25">
      <c r="A1" s="1045" t="s">
        <v>917</v>
      </c>
      <c r="B1" s="1045"/>
      <c r="C1" s="1045"/>
      <c r="D1" s="1045"/>
      <c r="E1" s="1045"/>
      <c r="F1" s="1045"/>
      <c r="G1" s="1045"/>
      <c r="H1" s="1045"/>
      <c r="I1" s="1045"/>
      <c r="J1" s="1045"/>
      <c r="K1" s="1045"/>
      <c r="L1" s="1045"/>
      <c r="M1" s="1045"/>
      <c r="N1" s="1045"/>
      <c r="O1" s="1045"/>
      <c r="P1" s="1045"/>
      <c r="Q1" s="1045"/>
      <c r="R1" s="1045"/>
      <c r="S1" s="1045"/>
      <c r="T1" s="1045"/>
      <c r="U1" s="1045"/>
      <c r="V1" s="1045"/>
      <c r="W1" s="1045"/>
      <c r="X1" s="1045"/>
      <c r="Y1" s="1045"/>
      <c r="Z1" s="1045"/>
      <c r="AA1" s="1045"/>
      <c r="AB1" s="1045"/>
      <c r="AC1" s="1045"/>
      <c r="AD1" s="1045"/>
      <c r="AE1" s="1045"/>
      <c r="AF1" s="1045"/>
      <c r="AG1" s="1045"/>
      <c r="AH1" s="1045"/>
      <c r="AI1" s="1045"/>
      <c r="AJ1" s="1045"/>
      <c r="AK1" s="1045"/>
      <c r="AL1" s="1045"/>
      <c r="AM1" s="1045"/>
      <c r="AN1" s="1046" t="s">
        <v>900</v>
      </c>
      <c r="AO1" s="1047"/>
      <c r="AP1" s="1047"/>
      <c r="AQ1" s="1047"/>
      <c r="AR1" s="1047"/>
      <c r="AS1" s="1047"/>
      <c r="AT1" s="1047"/>
      <c r="AU1" s="1047"/>
      <c r="AV1" s="1047"/>
      <c r="AW1" s="1047"/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7"/>
      <c r="BI1" s="1047"/>
      <c r="BJ1" s="1047"/>
      <c r="BK1" s="1047"/>
      <c r="BL1" s="1047"/>
      <c r="BM1" s="1047"/>
      <c r="BN1" s="1047"/>
      <c r="BO1" s="1047"/>
      <c r="BP1" s="1047"/>
      <c r="BQ1" s="1047"/>
      <c r="BR1" s="1047"/>
      <c r="BS1" s="1047"/>
      <c r="BT1" s="1048"/>
      <c r="BU1" s="716"/>
      <c r="BV1" s="529"/>
      <c r="BW1" s="529"/>
      <c r="BX1" s="529"/>
    </row>
    <row r="2" spans="1:95" s="948" customFormat="1" ht="19.5" customHeight="1" x14ac:dyDescent="0.2">
      <c r="A2" s="943"/>
      <c r="B2" s="944"/>
      <c r="C2" s="945"/>
      <c r="D2" s="945"/>
      <c r="E2" s="946">
        <v>26</v>
      </c>
      <c r="F2" s="946">
        <v>27</v>
      </c>
      <c r="G2" s="946">
        <v>28</v>
      </c>
      <c r="H2" s="946">
        <v>29</v>
      </c>
      <c r="I2" s="946">
        <v>30</v>
      </c>
      <c r="J2" s="946">
        <v>31</v>
      </c>
      <c r="K2" s="946">
        <v>1</v>
      </c>
      <c r="L2" s="946">
        <v>2</v>
      </c>
      <c r="M2" s="946">
        <v>3</v>
      </c>
      <c r="N2" s="946">
        <v>4</v>
      </c>
      <c r="O2" s="946">
        <v>5</v>
      </c>
      <c r="P2" s="946">
        <v>6</v>
      </c>
      <c r="Q2" s="946">
        <v>7</v>
      </c>
      <c r="R2" s="946">
        <v>8</v>
      </c>
      <c r="S2" s="946">
        <v>9</v>
      </c>
      <c r="T2" s="946">
        <v>10</v>
      </c>
      <c r="U2" s="946">
        <v>11</v>
      </c>
      <c r="V2" s="946">
        <v>12</v>
      </c>
      <c r="W2" s="946">
        <v>13</v>
      </c>
      <c r="X2" s="946">
        <v>14</v>
      </c>
      <c r="Y2" s="946">
        <v>15</v>
      </c>
      <c r="Z2" s="946">
        <v>16</v>
      </c>
      <c r="AA2" s="946">
        <v>17</v>
      </c>
      <c r="AB2" s="946">
        <v>18</v>
      </c>
      <c r="AC2" s="946">
        <v>19</v>
      </c>
      <c r="AD2" s="946">
        <v>20</v>
      </c>
      <c r="AE2" s="946">
        <v>21</v>
      </c>
      <c r="AF2" s="946">
        <v>22</v>
      </c>
      <c r="AG2" s="946">
        <v>23</v>
      </c>
      <c r="AH2" s="946">
        <v>24</v>
      </c>
      <c r="AI2" s="946">
        <v>25</v>
      </c>
      <c r="AJ2" s="945"/>
      <c r="AK2" s="945"/>
      <c r="AL2" s="945"/>
      <c r="AM2" s="945"/>
      <c r="AN2" s="947">
        <f t="shared" ref="AN2:AR2" si="0">E2</f>
        <v>26</v>
      </c>
      <c r="AO2" s="941">
        <f t="shared" si="0"/>
        <v>27</v>
      </c>
      <c r="AP2" s="947">
        <f t="shared" si="0"/>
        <v>28</v>
      </c>
      <c r="AQ2" s="947">
        <f t="shared" si="0"/>
        <v>29</v>
      </c>
      <c r="AR2" s="947">
        <f t="shared" si="0"/>
        <v>30</v>
      </c>
      <c r="AS2" s="947">
        <f t="shared" ref="AS2" si="1">J2</f>
        <v>31</v>
      </c>
      <c r="AT2" s="947">
        <f t="shared" ref="AT2" si="2">K2</f>
        <v>1</v>
      </c>
      <c r="AU2" s="947">
        <f t="shared" ref="AU2:BR2" si="3">L2</f>
        <v>2</v>
      </c>
      <c r="AV2" s="941">
        <f t="shared" si="3"/>
        <v>3</v>
      </c>
      <c r="AW2" s="941">
        <f t="shared" si="3"/>
        <v>4</v>
      </c>
      <c r="AX2" s="941">
        <f t="shared" si="3"/>
        <v>5</v>
      </c>
      <c r="AY2" s="941">
        <f t="shared" si="3"/>
        <v>6</v>
      </c>
      <c r="AZ2" s="941">
        <f t="shared" si="3"/>
        <v>7</v>
      </c>
      <c r="BA2" s="941">
        <f t="shared" si="3"/>
        <v>8</v>
      </c>
      <c r="BB2" s="941">
        <f t="shared" si="3"/>
        <v>9</v>
      </c>
      <c r="BC2" s="941">
        <f t="shared" si="3"/>
        <v>10</v>
      </c>
      <c r="BD2" s="941">
        <f t="shared" si="3"/>
        <v>11</v>
      </c>
      <c r="BE2" s="947">
        <f t="shared" si="3"/>
        <v>12</v>
      </c>
      <c r="BF2" s="941">
        <f t="shared" si="3"/>
        <v>13</v>
      </c>
      <c r="BG2" s="941">
        <f t="shared" si="3"/>
        <v>14</v>
      </c>
      <c r="BH2" s="941">
        <f t="shared" si="3"/>
        <v>15</v>
      </c>
      <c r="BI2" s="947">
        <f t="shared" si="3"/>
        <v>16</v>
      </c>
      <c r="BJ2" s="941">
        <f t="shared" si="3"/>
        <v>17</v>
      </c>
      <c r="BK2" s="947">
        <f t="shared" si="3"/>
        <v>18</v>
      </c>
      <c r="BL2" s="947">
        <f t="shared" si="3"/>
        <v>19</v>
      </c>
      <c r="BM2" s="947">
        <f t="shared" si="3"/>
        <v>20</v>
      </c>
      <c r="BN2" s="941">
        <f t="shared" si="3"/>
        <v>21</v>
      </c>
      <c r="BO2" s="941">
        <f t="shared" si="3"/>
        <v>22</v>
      </c>
      <c r="BP2" s="941">
        <f t="shared" si="3"/>
        <v>23</v>
      </c>
      <c r="BQ2" s="941">
        <f t="shared" si="3"/>
        <v>24</v>
      </c>
      <c r="BR2" s="941">
        <f t="shared" si="3"/>
        <v>25</v>
      </c>
      <c r="BS2" s="945"/>
      <c r="BT2" s="945"/>
      <c r="BU2" s="945"/>
      <c r="BV2" s="945"/>
      <c r="BW2" s="945"/>
      <c r="BX2" s="945"/>
    </row>
    <row r="3" spans="1:95" ht="15" customHeight="1" x14ac:dyDescent="0.25">
      <c r="A3" s="706"/>
      <c r="B3" s="701"/>
      <c r="C3" s="553"/>
      <c r="D3" s="553"/>
      <c r="E3" s="1044" t="s">
        <v>355</v>
      </c>
      <c r="F3" s="1044"/>
      <c r="G3" s="1044"/>
      <c r="H3" s="1044"/>
      <c r="I3" s="1044"/>
      <c r="J3" s="1044"/>
      <c r="K3" s="1044"/>
      <c r="L3" s="1044"/>
      <c r="M3" s="1044"/>
      <c r="N3" s="1044"/>
      <c r="O3" s="1044"/>
      <c r="P3" s="1044"/>
      <c r="Q3" s="1044"/>
      <c r="R3" s="1044"/>
      <c r="S3" s="1044"/>
      <c r="T3" s="1044"/>
      <c r="U3" s="1044"/>
      <c r="V3" s="1044"/>
      <c r="W3" s="1044"/>
      <c r="X3" s="1044"/>
      <c r="Y3" s="1044"/>
      <c r="Z3" s="1044"/>
      <c r="AA3" s="1044"/>
      <c r="AB3" s="1044"/>
      <c r="AC3" s="1044"/>
      <c r="AD3" s="1044"/>
      <c r="AE3" s="1044"/>
      <c r="AF3" s="1044"/>
      <c r="AG3" s="1044"/>
      <c r="AH3" s="1044"/>
      <c r="AI3" s="632"/>
      <c r="AJ3" s="1049" t="s">
        <v>379</v>
      </c>
      <c r="AK3" s="1050"/>
      <c r="AL3" s="1051" t="s">
        <v>380</v>
      </c>
      <c r="AM3" s="1052"/>
      <c r="AN3" s="1044" t="s">
        <v>378</v>
      </c>
      <c r="AO3" s="1053"/>
      <c r="AP3" s="1044"/>
      <c r="AQ3" s="1044"/>
      <c r="AR3" s="1044"/>
      <c r="AS3" s="1044"/>
      <c r="AT3" s="1044"/>
      <c r="AU3" s="1044"/>
      <c r="AV3" s="1044"/>
      <c r="AW3" s="1044"/>
      <c r="AX3" s="1044"/>
      <c r="AY3" s="1044"/>
      <c r="AZ3" s="1044"/>
      <c r="BA3" s="1044"/>
      <c r="BB3" s="1044"/>
      <c r="BC3" s="1053"/>
      <c r="BD3" s="1044"/>
      <c r="BE3" s="1044"/>
      <c r="BF3" s="1044"/>
      <c r="BG3" s="1044"/>
      <c r="BH3" s="1044"/>
      <c r="BI3" s="1044"/>
      <c r="BJ3" s="1053"/>
      <c r="BK3" s="1044"/>
      <c r="BL3" s="1044"/>
      <c r="BM3" s="1044"/>
      <c r="BN3" s="1044"/>
      <c r="BO3" s="1044"/>
      <c r="BP3" s="1044"/>
      <c r="BQ3" s="1044"/>
      <c r="BR3" s="1044"/>
      <c r="BS3" s="1054" t="s">
        <v>357</v>
      </c>
      <c r="BT3" s="1055"/>
      <c r="BU3" s="1055"/>
      <c r="BV3" s="529"/>
      <c r="BW3" s="529">
        <v>3</v>
      </c>
      <c r="BX3" s="529"/>
    </row>
    <row r="4" spans="1:95" ht="19.5" customHeight="1" x14ac:dyDescent="0.25">
      <c r="A4" s="707" t="s">
        <v>0</v>
      </c>
      <c r="B4" s="702" t="s">
        <v>284</v>
      </c>
      <c r="C4" s="261" t="s">
        <v>2</v>
      </c>
      <c r="D4" s="262" t="s">
        <v>3</v>
      </c>
      <c r="E4" s="928">
        <v>2</v>
      </c>
      <c r="F4" s="928">
        <v>3</v>
      </c>
      <c r="G4" s="928">
        <v>4</v>
      </c>
      <c r="H4" s="928">
        <v>5</v>
      </c>
      <c r="I4" s="928">
        <v>6</v>
      </c>
      <c r="J4" s="928">
        <v>7</v>
      </c>
      <c r="K4" s="928" t="s">
        <v>384</v>
      </c>
      <c r="L4" s="928" t="s">
        <v>915</v>
      </c>
      <c r="M4" s="928">
        <v>3</v>
      </c>
      <c r="N4" s="928">
        <v>4</v>
      </c>
      <c r="O4" s="928">
        <v>5</v>
      </c>
      <c r="P4" s="928">
        <v>6</v>
      </c>
      <c r="Q4" s="928">
        <v>7</v>
      </c>
      <c r="R4" s="928" t="s">
        <v>384</v>
      </c>
      <c r="S4" s="928">
        <v>2</v>
      </c>
      <c r="T4" s="928">
        <v>3</v>
      </c>
      <c r="U4" s="928">
        <v>4</v>
      </c>
      <c r="V4" s="928">
        <v>5</v>
      </c>
      <c r="W4" s="928">
        <v>6</v>
      </c>
      <c r="X4" s="928">
        <v>7</v>
      </c>
      <c r="Y4" s="928" t="s">
        <v>384</v>
      </c>
      <c r="Z4" s="928">
        <v>2</v>
      </c>
      <c r="AA4" s="928">
        <v>3</v>
      </c>
      <c r="AB4" s="928">
        <v>4</v>
      </c>
      <c r="AC4" s="928">
        <v>5</v>
      </c>
      <c r="AD4" s="928">
        <v>6</v>
      </c>
      <c r="AE4" s="928">
        <v>7</v>
      </c>
      <c r="AF4" s="928" t="s">
        <v>384</v>
      </c>
      <c r="AG4" s="928">
        <v>2</v>
      </c>
      <c r="AH4" s="928">
        <v>3</v>
      </c>
      <c r="AI4" s="928">
        <v>4</v>
      </c>
      <c r="AJ4" s="554" t="s">
        <v>381</v>
      </c>
      <c r="AK4" s="555" t="s">
        <v>382</v>
      </c>
      <c r="AL4" s="555" t="s">
        <v>383</v>
      </c>
      <c r="AM4" s="555" t="s">
        <v>382</v>
      </c>
      <c r="AN4" s="928">
        <f>E4</f>
        <v>2</v>
      </c>
      <c r="AO4" s="928">
        <f t="shared" ref="AO4:AP4" si="4">F4</f>
        <v>3</v>
      </c>
      <c r="AP4" s="928">
        <f t="shared" si="4"/>
        <v>4</v>
      </c>
      <c r="AQ4" s="928">
        <f t="shared" ref="AQ4:AS4" si="5">H4</f>
        <v>5</v>
      </c>
      <c r="AR4" s="928">
        <f t="shared" si="5"/>
        <v>6</v>
      </c>
      <c r="AS4" s="928">
        <f t="shared" si="5"/>
        <v>7</v>
      </c>
      <c r="AT4" s="928" t="str">
        <f t="shared" ref="AT4:BR4" si="6">K4</f>
        <v>CN</v>
      </c>
      <c r="AU4" s="928" t="str">
        <f t="shared" si="6"/>
        <v>LT</v>
      </c>
      <c r="AV4" s="928">
        <f t="shared" si="6"/>
        <v>3</v>
      </c>
      <c r="AW4" s="928">
        <f t="shared" si="6"/>
        <v>4</v>
      </c>
      <c r="AX4" s="928">
        <f t="shared" si="6"/>
        <v>5</v>
      </c>
      <c r="AY4" s="928">
        <f t="shared" si="6"/>
        <v>6</v>
      </c>
      <c r="AZ4" s="928">
        <f t="shared" si="6"/>
        <v>7</v>
      </c>
      <c r="BA4" s="928" t="str">
        <f t="shared" si="6"/>
        <v>CN</v>
      </c>
      <c r="BB4" s="928">
        <f t="shared" si="6"/>
        <v>2</v>
      </c>
      <c r="BC4" s="928">
        <f t="shared" si="6"/>
        <v>3</v>
      </c>
      <c r="BD4" s="928">
        <f t="shared" si="6"/>
        <v>4</v>
      </c>
      <c r="BE4" s="928">
        <f t="shared" si="6"/>
        <v>5</v>
      </c>
      <c r="BF4" s="928">
        <f t="shared" si="6"/>
        <v>6</v>
      </c>
      <c r="BG4" s="928">
        <f t="shared" si="6"/>
        <v>7</v>
      </c>
      <c r="BH4" s="928" t="str">
        <f t="shared" si="6"/>
        <v>CN</v>
      </c>
      <c r="BI4" s="928">
        <f t="shared" si="6"/>
        <v>2</v>
      </c>
      <c r="BJ4" s="928">
        <f t="shared" si="6"/>
        <v>3</v>
      </c>
      <c r="BK4" s="928">
        <f t="shared" si="6"/>
        <v>4</v>
      </c>
      <c r="BL4" s="928">
        <f t="shared" si="6"/>
        <v>5</v>
      </c>
      <c r="BM4" s="928">
        <f t="shared" si="6"/>
        <v>6</v>
      </c>
      <c r="BN4" s="928">
        <f t="shared" si="6"/>
        <v>7</v>
      </c>
      <c r="BO4" s="928" t="str">
        <f t="shared" si="6"/>
        <v>CN</v>
      </c>
      <c r="BP4" s="928">
        <f t="shared" si="6"/>
        <v>2</v>
      </c>
      <c r="BQ4" s="928">
        <f t="shared" si="6"/>
        <v>3</v>
      </c>
      <c r="BR4" s="928">
        <f t="shared" si="6"/>
        <v>4</v>
      </c>
      <c r="BS4" s="528" t="s">
        <v>385</v>
      </c>
      <c r="BT4" s="528" t="s">
        <v>386</v>
      </c>
      <c r="BU4" s="717" t="s">
        <v>382</v>
      </c>
      <c r="BV4" s="785" t="s">
        <v>709</v>
      </c>
      <c r="BW4" s="785" t="s">
        <v>710</v>
      </c>
      <c r="BX4" s="740"/>
      <c r="BY4" s="1041" t="s">
        <v>732</v>
      </c>
      <c r="BZ4" s="1042"/>
      <c r="CA4" s="1042"/>
      <c r="CB4" s="1042"/>
      <c r="CC4" s="1042"/>
      <c r="CD4" s="1042"/>
      <c r="CE4" s="1042"/>
      <c r="CF4" s="1042"/>
      <c r="CG4" s="1042"/>
      <c r="CH4" s="1042"/>
      <c r="CI4" s="1042"/>
      <c r="CJ4" s="1042"/>
      <c r="CK4" s="1042"/>
      <c r="CL4" s="1042"/>
      <c r="CM4" s="1042"/>
      <c r="CN4" s="1042"/>
      <c r="CO4" s="1042"/>
      <c r="CP4" s="1042"/>
      <c r="CQ4" s="1042"/>
    </row>
    <row r="5" spans="1:95" s="705" customFormat="1" ht="24.75" customHeight="1" x14ac:dyDescent="0.25">
      <c r="A5" s="703"/>
      <c r="B5" s="703"/>
      <c r="C5" s="709" t="s">
        <v>734</v>
      </c>
      <c r="D5" s="703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703"/>
      <c r="AK5" s="703"/>
      <c r="AL5" s="703"/>
      <c r="AM5" s="703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932"/>
      <c r="BB5" s="932"/>
      <c r="BC5" s="932"/>
      <c r="BD5" s="932"/>
      <c r="BE5" s="932"/>
      <c r="BF5" s="932"/>
      <c r="BG5" s="932"/>
      <c r="BH5" s="932"/>
      <c r="BI5" s="932"/>
      <c r="BJ5" s="932"/>
      <c r="BK5" s="932"/>
      <c r="BL5" s="932"/>
      <c r="BM5" s="932"/>
      <c r="BN5" s="932"/>
      <c r="BO5" s="932"/>
      <c r="BP5" s="932"/>
      <c r="BQ5" s="932"/>
      <c r="BR5" s="932"/>
      <c r="BS5" s="703"/>
      <c r="BT5" s="703"/>
      <c r="BU5" s="720"/>
      <c r="BV5" s="720"/>
      <c r="BW5" s="704"/>
      <c r="BX5" s="741"/>
    </row>
    <row r="6" spans="1:95" ht="24" x14ac:dyDescent="0.25">
      <c r="A6" s="675">
        <f>'BANG LUONG 1'!A7</f>
        <v>1</v>
      </c>
      <c r="B6" s="263" t="str">
        <f>'BANG LUONG 1'!B7</f>
        <v>NV01</v>
      </c>
      <c r="C6" s="263" t="str">
        <f>'BANG LUONG 1'!C7</f>
        <v>Nguyễn Trọng Minh</v>
      </c>
      <c r="D6" s="263" t="str">
        <f>'BANG LUONG 1'!D7</f>
        <v>Đội trưởng XLB</v>
      </c>
      <c r="E6" s="933">
        <v>1</v>
      </c>
      <c r="F6" s="933">
        <v>1</v>
      </c>
      <c r="G6" s="933">
        <v>1</v>
      </c>
      <c r="H6" s="933">
        <v>1</v>
      </c>
      <c r="I6" s="933">
        <v>1</v>
      </c>
      <c r="J6" s="933">
        <v>1</v>
      </c>
      <c r="K6" s="932"/>
      <c r="L6" s="933" t="s">
        <v>915</v>
      </c>
      <c r="M6" s="933">
        <v>1</v>
      </c>
      <c r="N6" s="933">
        <v>1</v>
      </c>
      <c r="O6" s="933">
        <v>1</v>
      </c>
      <c r="P6" s="933">
        <v>1</v>
      </c>
      <c r="Q6" s="933">
        <v>1</v>
      </c>
      <c r="R6" s="932"/>
      <c r="S6" s="933">
        <v>1</v>
      </c>
      <c r="T6" s="933">
        <v>1</v>
      </c>
      <c r="U6" s="933">
        <v>1</v>
      </c>
      <c r="V6" s="933">
        <v>1</v>
      </c>
      <c r="W6" s="933">
        <v>1</v>
      </c>
      <c r="X6" s="933">
        <v>1</v>
      </c>
      <c r="Y6" s="932"/>
      <c r="Z6" s="933">
        <v>1</v>
      </c>
      <c r="AA6" s="933">
        <v>1</v>
      </c>
      <c r="AB6" s="933">
        <v>1</v>
      </c>
      <c r="AC6" s="933">
        <v>1</v>
      </c>
      <c r="AD6" s="933">
        <v>1</v>
      </c>
      <c r="AE6" s="933">
        <v>1</v>
      </c>
      <c r="AF6" s="932"/>
      <c r="AG6" s="933">
        <v>1</v>
      </c>
      <c r="AH6" s="933">
        <v>1</v>
      </c>
      <c r="AI6" s="933">
        <v>1</v>
      </c>
      <c r="AJ6" s="555">
        <f>SUM(E6:AI6)-AK6</f>
        <v>26</v>
      </c>
      <c r="AK6" s="555">
        <f>SUMIF($E$4:$AI$4,"LT",E6:AI6)</f>
        <v>0</v>
      </c>
      <c r="AL6" s="555">
        <f>COUNTIF(E6:AI6,"P")</f>
        <v>0</v>
      </c>
      <c r="AM6" s="555">
        <f>COUNTIF(E6:AI6,"LT")</f>
        <v>1</v>
      </c>
      <c r="AN6" s="933"/>
      <c r="AO6" s="933"/>
      <c r="AP6" s="933"/>
      <c r="AQ6" s="933"/>
      <c r="AR6" s="933">
        <v>3</v>
      </c>
      <c r="AS6" s="933">
        <v>3</v>
      </c>
      <c r="AT6" s="932"/>
      <c r="AU6" s="933"/>
      <c r="AV6" s="933"/>
      <c r="AW6" s="933"/>
      <c r="AX6" s="933"/>
      <c r="AY6" s="933">
        <v>3</v>
      </c>
      <c r="AZ6" s="933"/>
      <c r="BA6" s="932">
        <v>8</v>
      </c>
      <c r="BB6" s="933"/>
      <c r="BC6" s="933"/>
      <c r="BD6" s="933"/>
      <c r="BE6" s="933">
        <v>3</v>
      </c>
      <c r="BF6" s="933"/>
      <c r="BG6" s="933"/>
      <c r="BH6" s="932">
        <v>8</v>
      </c>
      <c r="BI6" s="933"/>
      <c r="BJ6" s="933">
        <v>3</v>
      </c>
      <c r="BK6" s="933"/>
      <c r="BL6" s="933"/>
      <c r="BM6" s="933"/>
      <c r="BN6" s="933"/>
      <c r="BO6" s="932"/>
      <c r="BP6" s="933">
        <v>3</v>
      </c>
      <c r="BQ6" s="933">
        <v>3</v>
      </c>
      <c r="BR6" s="933">
        <v>3</v>
      </c>
      <c r="BS6" s="528">
        <f t="shared" ref="BS6:BS13" si="7">SUM(AN6:BR6)-BT6</f>
        <v>24</v>
      </c>
      <c r="BT6" s="528">
        <f t="shared" ref="BT6:BT12" si="8">SUMIF($AN$4:$BR$4,"CN",AN6:BR6)</f>
        <v>16</v>
      </c>
      <c r="BU6" s="528">
        <f t="shared" ref="BU6:BU13" si="9">SUMIF($AN$4:$BR$4,"LT",AN6:BR6)</f>
        <v>0</v>
      </c>
      <c r="BV6" s="676"/>
      <c r="BW6" s="676">
        <f>COUNTIFS(AN6:BR6,"&gt;="&amp;$BW$3,$AN$4:$BR$4,"&lt;&gt;CN")</f>
        <v>8</v>
      </c>
      <c r="BX6" s="742"/>
    </row>
    <row r="7" spans="1:95" s="529" customFormat="1" ht="21" customHeight="1" x14ac:dyDescent="0.25">
      <c r="A7" s="675">
        <f>'BANG LUONG 1'!A8</f>
        <v>2</v>
      </c>
      <c r="B7" s="263" t="str">
        <f>'BANG LUONG 1'!B8</f>
        <v>NV02</v>
      </c>
      <c r="C7" s="263" t="str">
        <f>'BANG LUONG 1'!C8</f>
        <v xml:space="preserve">Nguyễn Minh Tuấn </v>
      </c>
      <c r="D7" s="263" t="str">
        <f>'BANG LUONG 1'!D8</f>
        <v xml:space="preserve">Công nhân </v>
      </c>
      <c r="E7" s="933">
        <v>1</v>
      </c>
      <c r="F7" s="933">
        <v>1</v>
      </c>
      <c r="G7" s="933">
        <v>1</v>
      </c>
      <c r="H7" s="933">
        <v>1</v>
      </c>
      <c r="I7" s="933">
        <v>1</v>
      </c>
      <c r="J7" s="933">
        <v>1</v>
      </c>
      <c r="K7" s="932"/>
      <c r="L7" s="933" t="s">
        <v>915</v>
      </c>
      <c r="M7" s="933">
        <v>1</v>
      </c>
      <c r="N7" s="933">
        <v>1</v>
      </c>
      <c r="O7" s="933">
        <v>1</v>
      </c>
      <c r="P7" s="933">
        <v>0.5</v>
      </c>
      <c r="Q7" s="933">
        <v>1</v>
      </c>
      <c r="R7" s="932"/>
      <c r="S7" s="933">
        <v>1</v>
      </c>
      <c r="T7" s="933">
        <v>1</v>
      </c>
      <c r="U7" s="933">
        <v>1</v>
      </c>
      <c r="V7" s="933">
        <v>1</v>
      </c>
      <c r="W7" s="933">
        <v>1</v>
      </c>
      <c r="X7" s="933">
        <v>1</v>
      </c>
      <c r="Y7" s="932"/>
      <c r="Z7" s="933">
        <v>1</v>
      </c>
      <c r="AA7" s="933">
        <v>1</v>
      </c>
      <c r="AB7" s="933">
        <v>1</v>
      </c>
      <c r="AC7" s="933">
        <v>1</v>
      </c>
      <c r="AD7" s="933">
        <v>1</v>
      </c>
      <c r="AE7" s="933">
        <v>0.5</v>
      </c>
      <c r="AF7" s="932"/>
      <c r="AG7" s="933">
        <v>1</v>
      </c>
      <c r="AH7" s="933">
        <v>1</v>
      </c>
      <c r="AI7" s="933">
        <v>1</v>
      </c>
      <c r="AJ7" s="555">
        <f t="shared" ref="AJ7:AJ13" si="10">SUM(E7:AI7)-AK7</f>
        <v>25</v>
      </c>
      <c r="AK7" s="555">
        <f t="shared" ref="AK7:AK13" si="11">SUMIF($E$4:$AI$4,"LT",E7:AI7)</f>
        <v>0</v>
      </c>
      <c r="AL7" s="555">
        <f t="shared" ref="AL7:AL13" si="12">COUNTIF(E7:AI7,"P")</f>
        <v>0</v>
      </c>
      <c r="AM7" s="555">
        <f t="shared" ref="AM7:AM13" si="13">COUNTIF(E7:AI7,"LT")</f>
        <v>1</v>
      </c>
      <c r="AN7" s="933"/>
      <c r="AO7" s="933"/>
      <c r="AP7" s="933"/>
      <c r="AQ7" s="933"/>
      <c r="AR7" s="933">
        <v>3</v>
      </c>
      <c r="AS7" s="933">
        <v>3</v>
      </c>
      <c r="AT7" s="932"/>
      <c r="AU7" s="933"/>
      <c r="AV7" s="933"/>
      <c r="AW7" s="933"/>
      <c r="AX7" s="933"/>
      <c r="AY7" s="933"/>
      <c r="AZ7" s="933"/>
      <c r="BA7" s="932">
        <v>8</v>
      </c>
      <c r="BB7" s="933"/>
      <c r="BC7" s="933"/>
      <c r="BD7" s="933"/>
      <c r="BE7" s="933">
        <v>3</v>
      </c>
      <c r="BF7" s="933"/>
      <c r="BG7" s="933"/>
      <c r="BH7" s="932">
        <v>8</v>
      </c>
      <c r="BI7" s="933"/>
      <c r="BJ7" s="933">
        <v>3</v>
      </c>
      <c r="BK7" s="933"/>
      <c r="BL7" s="933"/>
      <c r="BM7" s="933"/>
      <c r="BN7" s="933"/>
      <c r="BO7" s="932"/>
      <c r="BP7" s="933">
        <v>3</v>
      </c>
      <c r="BQ7" s="933">
        <v>3</v>
      </c>
      <c r="BR7" s="933">
        <v>3</v>
      </c>
      <c r="BS7" s="528">
        <f t="shared" si="7"/>
        <v>21</v>
      </c>
      <c r="BT7" s="528">
        <f t="shared" si="8"/>
        <v>16</v>
      </c>
      <c r="BU7" s="528">
        <f t="shared" si="9"/>
        <v>0</v>
      </c>
      <c r="BV7" s="676"/>
      <c r="BW7" s="676">
        <f t="shared" ref="BW7:BW15" si="14">COUNTIFS(AN7:BR7,"&gt;="&amp;$BW$3,$AN$4:$BR$4,"&lt;&gt;CN")</f>
        <v>7</v>
      </c>
      <c r="BX7" s="818"/>
      <c r="BY7" s="817"/>
      <c r="CA7" s="817"/>
      <c r="CB7" s="817"/>
    </row>
    <row r="8" spans="1:95" ht="21" customHeight="1" x14ac:dyDescent="0.25">
      <c r="A8" s="675">
        <f>'BANG LUONG 1'!A9</f>
        <v>3</v>
      </c>
      <c r="B8" s="263" t="str">
        <f>'BANG LUONG 1'!B9</f>
        <v>NV05</v>
      </c>
      <c r="C8" s="263" t="str">
        <f>'BANG LUONG 1'!C9</f>
        <v>Nguyễn Thanh Vạn</v>
      </c>
      <c r="D8" s="263" t="str">
        <f>'BANG LUONG 1'!D9</f>
        <v xml:space="preserve">Công nhân </v>
      </c>
      <c r="E8" s="933"/>
      <c r="F8" s="933"/>
      <c r="G8" s="933"/>
      <c r="H8" s="933"/>
      <c r="I8" s="933"/>
      <c r="J8" s="933"/>
      <c r="K8" s="932"/>
      <c r="L8" s="933"/>
      <c r="M8" s="933"/>
      <c r="N8" s="933"/>
      <c r="O8" s="933"/>
      <c r="P8" s="933"/>
      <c r="Q8" s="933"/>
      <c r="R8" s="932"/>
      <c r="S8" s="933"/>
      <c r="T8" s="933"/>
      <c r="U8" s="933"/>
      <c r="V8" s="933"/>
      <c r="W8" s="933"/>
      <c r="X8" s="933"/>
      <c r="Y8" s="932"/>
      <c r="Z8" s="933"/>
      <c r="AA8" s="933"/>
      <c r="AB8" s="933"/>
      <c r="AC8" s="933"/>
      <c r="AD8" s="933"/>
      <c r="AE8" s="933"/>
      <c r="AF8" s="932"/>
      <c r="AG8" s="933"/>
      <c r="AH8" s="933"/>
      <c r="AI8" s="933"/>
      <c r="AJ8" s="555">
        <f t="shared" si="10"/>
        <v>0</v>
      </c>
      <c r="AK8" s="555">
        <f t="shared" si="11"/>
        <v>0</v>
      </c>
      <c r="AL8" s="555">
        <f t="shared" si="12"/>
        <v>0</v>
      </c>
      <c r="AM8" s="555">
        <f t="shared" si="13"/>
        <v>0</v>
      </c>
      <c r="AN8" s="933"/>
      <c r="AO8" s="933"/>
      <c r="AP8" s="933"/>
      <c r="AQ8" s="933"/>
      <c r="AR8" s="933"/>
      <c r="AS8" s="933"/>
      <c r="AT8" s="932"/>
      <c r="AU8" s="933"/>
      <c r="AV8" s="933"/>
      <c r="AW8" s="933"/>
      <c r="AX8" s="933"/>
      <c r="AY8" s="933"/>
      <c r="AZ8" s="933"/>
      <c r="BA8" s="932"/>
      <c r="BB8" s="933"/>
      <c r="BC8" s="933"/>
      <c r="BD8" s="933"/>
      <c r="BE8" s="933"/>
      <c r="BF8" s="933"/>
      <c r="BG8" s="933"/>
      <c r="BH8" s="932"/>
      <c r="BI8" s="933"/>
      <c r="BJ8" s="933"/>
      <c r="BK8" s="933"/>
      <c r="BL8" s="933"/>
      <c r="BM8" s="933"/>
      <c r="BN8" s="933"/>
      <c r="BO8" s="932"/>
      <c r="BP8" s="933"/>
      <c r="BQ8" s="933"/>
      <c r="BR8" s="933"/>
      <c r="BS8" s="528">
        <f t="shared" si="7"/>
        <v>0</v>
      </c>
      <c r="BT8" s="528">
        <f t="shared" si="8"/>
        <v>0</v>
      </c>
      <c r="BU8" s="528">
        <f t="shared" si="9"/>
        <v>0</v>
      </c>
      <c r="BV8" s="676"/>
      <c r="BW8" s="676">
        <f t="shared" si="14"/>
        <v>0</v>
      </c>
      <c r="BX8" s="742"/>
      <c r="BY8" s="721"/>
    </row>
    <row r="9" spans="1:95" s="529" customFormat="1" ht="21" customHeight="1" x14ac:dyDescent="0.25">
      <c r="A9" s="675">
        <f>'BANG LUONG 1'!A10</f>
        <v>4</v>
      </c>
      <c r="B9" s="263" t="str">
        <f>'BANG LUONG 1'!B10</f>
        <v>NV07</v>
      </c>
      <c r="C9" s="263" t="str">
        <f>'BANG LUONG 1'!C10</f>
        <v xml:space="preserve">Triệu Bô Na </v>
      </c>
      <c r="D9" s="263" t="str">
        <f>'BANG LUONG 1'!D10</f>
        <v xml:space="preserve">Công nhân </v>
      </c>
      <c r="E9" s="933" t="s">
        <v>506</v>
      </c>
      <c r="F9" s="933">
        <v>1</v>
      </c>
      <c r="G9" s="933">
        <v>1</v>
      </c>
      <c r="H9" s="933">
        <v>1</v>
      </c>
      <c r="I9" s="933">
        <v>1</v>
      </c>
      <c r="J9" s="933">
        <v>1</v>
      </c>
      <c r="K9" s="932"/>
      <c r="L9" s="933" t="s">
        <v>915</v>
      </c>
      <c r="M9" s="933">
        <v>1</v>
      </c>
      <c r="N9" s="933">
        <v>1</v>
      </c>
      <c r="O9" s="933">
        <v>1</v>
      </c>
      <c r="P9" s="933">
        <v>1</v>
      </c>
      <c r="Q9" s="933">
        <v>1</v>
      </c>
      <c r="R9" s="932"/>
      <c r="S9" s="933">
        <v>1</v>
      </c>
      <c r="T9" s="933">
        <v>1</v>
      </c>
      <c r="U9" s="933">
        <v>1</v>
      </c>
      <c r="V9" s="933">
        <v>1</v>
      </c>
      <c r="W9" s="933">
        <v>1</v>
      </c>
      <c r="X9" s="933">
        <v>1</v>
      </c>
      <c r="Y9" s="932"/>
      <c r="Z9" s="933">
        <v>1</v>
      </c>
      <c r="AA9" s="933">
        <v>1</v>
      </c>
      <c r="AB9" s="933">
        <v>1</v>
      </c>
      <c r="AC9" s="933">
        <v>1</v>
      </c>
      <c r="AD9" s="933">
        <v>1</v>
      </c>
      <c r="AE9" s="933">
        <v>1</v>
      </c>
      <c r="AF9" s="932"/>
      <c r="AG9" s="933">
        <v>1</v>
      </c>
      <c r="AH9" s="933">
        <v>1</v>
      </c>
      <c r="AI9" s="933">
        <v>1</v>
      </c>
      <c r="AJ9" s="555">
        <f t="shared" si="10"/>
        <v>25</v>
      </c>
      <c r="AK9" s="555">
        <f t="shared" si="11"/>
        <v>0</v>
      </c>
      <c r="AL9" s="555">
        <f t="shared" si="12"/>
        <v>1</v>
      </c>
      <c r="AM9" s="555">
        <f t="shared" si="13"/>
        <v>1</v>
      </c>
      <c r="AN9" s="933"/>
      <c r="AO9" s="933"/>
      <c r="AP9" s="933"/>
      <c r="AQ9" s="933"/>
      <c r="AR9" s="933">
        <v>3</v>
      </c>
      <c r="AS9" s="933">
        <v>3</v>
      </c>
      <c r="AT9" s="932"/>
      <c r="AU9" s="933"/>
      <c r="AV9" s="933"/>
      <c r="AW9" s="933"/>
      <c r="AX9" s="933"/>
      <c r="AY9" s="933">
        <v>3</v>
      </c>
      <c r="AZ9" s="933"/>
      <c r="BA9" s="932">
        <v>8</v>
      </c>
      <c r="BB9" s="933"/>
      <c r="BC9" s="933"/>
      <c r="BD9" s="933"/>
      <c r="BE9" s="933">
        <v>3</v>
      </c>
      <c r="BF9" s="933"/>
      <c r="BG9" s="933"/>
      <c r="BH9" s="932">
        <v>8</v>
      </c>
      <c r="BI9" s="933"/>
      <c r="BJ9" s="933">
        <v>3</v>
      </c>
      <c r="BK9" s="933"/>
      <c r="BL9" s="933"/>
      <c r="BM9" s="933"/>
      <c r="BN9" s="933"/>
      <c r="BO9" s="932"/>
      <c r="BP9" s="933">
        <v>3</v>
      </c>
      <c r="BQ9" s="933">
        <v>3</v>
      </c>
      <c r="BR9" s="933">
        <v>3</v>
      </c>
      <c r="BS9" s="528">
        <f t="shared" si="7"/>
        <v>24</v>
      </c>
      <c r="BT9" s="528">
        <f t="shared" si="8"/>
        <v>16</v>
      </c>
      <c r="BU9" s="528">
        <f t="shared" si="9"/>
        <v>0</v>
      </c>
      <c r="BV9" s="676"/>
      <c r="BW9" s="676">
        <f t="shared" si="14"/>
        <v>8</v>
      </c>
      <c r="BX9" s="789"/>
      <c r="BY9" s="788"/>
      <c r="BZ9" s="789"/>
    </row>
    <row r="10" spans="1:95" s="529" customFormat="1" ht="21" customHeight="1" x14ac:dyDescent="0.25">
      <c r="A10" s="675">
        <f>'BANG LUONG 1'!A11</f>
        <v>5</v>
      </c>
      <c r="B10" s="263" t="str">
        <f>'BANG LUONG 1'!B11</f>
        <v>NV09</v>
      </c>
      <c r="C10" s="263" t="str">
        <f>'BANG LUONG 1'!C11</f>
        <v>Phan Lâm Thương</v>
      </c>
      <c r="D10" s="263" t="str">
        <f>'BANG LUONG 1'!D11</f>
        <v xml:space="preserve">Công nhân </v>
      </c>
      <c r="E10" s="933">
        <v>1</v>
      </c>
      <c r="F10" s="933">
        <v>1</v>
      </c>
      <c r="G10" s="933">
        <v>1</v>
      </c>
      <c r="H10" s="933">
        <v>1</v>
      </c>
      <c r="I10" s="933">
        <v>1</v>
      </c>
      <c r="J10" s="933" t="s">
        <v>506</v>
      </c>
      <c r="K10" s="932"/>
      <c r="L10" s="933" t="s">
        <v>915</v>
      </c>
      <c r="M10" s="933">
        <v>1</v>
      </c>
      <c r="N10" s="933">
        <v>1</v>
      </c>
      <c r="O10" s="933">
        <v>1</v>
      </c>
      <c r="P10" s="933">
        <v>1</v>
      </c>
      <c r="Q10" s="933">
        <v>1</v>
      </c>
      <c r="R10" s="932"/>
      <c r="S10" s="933">
        <v>1</v>
      </c>
      <c r="T10" s="933">
        <v>1</v>
      </c>
      <c r="U10" s="933">
        <v>1</v>
      </c>
      <c r="V10" s="933">
        <v>1</v>
      </c>
      <c r="W10" s="933">
        <v>1</v>
      </c>
      <c r="X10" s="933">
        <v>1</v>
      </c>
      <c r="Y10" s="932"/>
      <c r="Z10" s="933">
        <v>1</v>
      </c>
      <c r="AA10" s="933">
        <v>1</v>
      </c>
      <c r="AB10" s="933">
        <v>1</v>
      </c>
      <c r="AC10" s="933">
        <v>1</v>
      </c>
      <c r="AD10" s="933">
        <v>1</v>
      </c>
      <c r="AE10" s="933">
        <v>1</v>
      </c>
      <c r="AF10" s="932"/>
      <c r="AG10" s="933">
        <v>1</v>
      </c>
      <c r="AH10" s="933">
        <v>1</v>
      </c>
      <c r="AI10" s="933">
        <v>1</v>
      </c>
      <c r="AJ10" s="555">
        <f t="shared" si="10"/>
        <v>25</v>
      </c>
      <c r="AK10" s="555">
        <f t="shared" si="11"/>
        <v>0</v>
      </c>
      <c r="AL10" s="555">
        <f t="shared" si="12"/>
        <v>1</v>
      </c>
      <c r="AM10" s="555">
        <f t="shared" si="13"/>
        <v>1</v>
      </c>
      <c r="AN10" s="933"/>
      <c r="AO10" s="933"/>
      <c r="AP10" s="933"/>
      <c r="AQ10" s="933"/>
      <c r="AR10" s="933">
        <v>3</v>
      </c>
      <c r="AS10" s="933"/>
      <c r="AT10" s="932"/>
      <c r="AU10" s="933"/>
      <c r="AV10" s="933"/>
      <c r="AW10" s="933"/>
      <c r="AX10" s="933"/>
      <c r="AY10" s="933">
        <v>3</v>
      </c>
      <c r="AZ10" s="933"/>
      <c r="BA10" s="932">
        <v>8</v>
      </c>
      <c r="BB10" s="933"/>
      <c r="BC10" s="933"/>
      <c r="BD10" s="933"/>
      <c r="BE10" s="933">
        <v>3</v>
      </c>
      <c r="BF10" s="933"/>
      <c r="BG10" s="933"/>
      <c r="BH10" s="932">
        <v>8</v>
      </c>
      <c r="BI10" s="933"/>
      <c r="BJ10" s="933">
        <v>3</v>
      </c>
      <c r="BK10" s="933"/>
      <c r="BL10" s="933"/>
      <c r="BM10" s="933"/>
      <c r="BN10" s="933"/>
      <c r="BO10" s="932"/>
      <c r="BP10" s="933">
        <v>3</v>
      </c>
      <c r="BQ10" s="933">
        <v>3</v>
      </c>
      <c r="BR10" s="933">
        <v>3</v>
      </c>
      <c r="BS10" s="528">
        <f t="shared" si="7"/>
        <v>21</v>
      </c>
      <c r="BT10" s="528">
        <f t="shared" si="8"/>
        <v>16</v>
      </c>
      <c r="BU10" s="528">
        <f t="shared" si="9"/>
        <v>0</v>
      </c>
      <c r="BV10" s="676"/>
      <c r="BW10" s="676">
        <f t="shared" si="14"/>
        <v>7</v>
      </c>
      <c r="BX10" s="789"/>
      <c r="BY10" s="788"/>
      <c r="BZ10" s="789"/>
    </row>
    <row r="11" spans="1:95" s="529" customFormat="1" ht="21" customHeight="1" x14ac:dyDescent="0.25">
      <c r="A11" s="675">
        <f>'BANG LUONG 1'!A12</f>
        <v>6</v>
      </c>
      <c r="B11" s="263" t="str">
        <f>'BANG LUONG 1'!B12</f>
        <v>NV10</v>
      </c>
      <c r="C11" s="263" t="str">
        <f>'BANG LUONG 1'!C12</f>
        <v>Nguyễn Bình Luận</v>
      </c>
      <c r="D11" s="263" t="str">
        <f>'BANG LUONG 1'!D12</f>
        <v xml:space="preserve">Công nhân </v>
      </c>
      <c r="E11" s="933">
        <v>1</v>
      </c>
      <c r="F11" s="933">
        <v>1</v>
      </c>
      <c r="G11" s="933">
        <v>1</v>
      </c>
      <c r="H11" s="933">
        <v>1</v>
      </c>
      <c r="I11" s="933">
        <v>1</v>
      </c>
      <c r="J11" s="933">
        <v>1</v>
      </c>
      <c r="K11" s="932"/>
      <c r="L11" s="933" t="s">
        <v>915</v>
      </c>
      <c r="M11" s="933">
        <v>1</v>
      </c>
      <c r="N11" s="933">
        <v>1</v>
      </c>
      <c r="O11" s="933">
        <v>1</v>
      </c>
      <c r="P11" s="933">
        <v>1</v>
      </c>
      <c r="Q11" s="933">
        <v>1</v>
      </c>
      <c r="R11" s="932"/>
      <c r="S11" s="933">
        <v>1</v>
      </c>
      <c r="T11" s="933" t="s">
        <v>506</v>
      </c>
      <c r="U11" s="933">
        <v>1</v>
      </c>
      <c r="V11" s="933">
        <v>1</v>
      </c>
      <c r="W11" s="933">
        <v>1</v>
      </c>
      <c r="X11" s="933">
        <v>1</v>
      </c>
      <c r="Y11" s="932"/>
      <c r="Z11" s="933">
        <v>1</v>
      </c>
      <c r="AA11" s="933">
        <v>1</v>
      </c>
      <c r="AB11" s="933">
        <v>1</v>
      </c>
      <c r="AC11" s="933">
        <v>1</v>
      </c>
      <c r="AD11" s="933">
        <v>1</v>
      </c>
      <c r="AE11" s="933">
        <v>1</v>
      </c>
      <c r="AF11" s="932"/>
      <c r="AG11" s="933">
        <v>1</v>
      </c>
      <c r="AH11" s="933">
        <v>1</v>
      </c>
      <c r="AI11" s="933">
        <v>1</v>
      </c>
      <c r="AJ11" s="555">
        <f t="shared" si="10"/>
        <v>25</v>
      </c>
      <c r="AK11" s="555">
        <f t="shared" si="11"/>
        <v>0</v>
      </c>
      <c r="AL11" s="555">
        <f t="shared" si="12"/>
        <v>1</v>
      </c>
      <c r="AM11" s="555">
        <f t="shared" si="13"/>
        <v>1</v>
      </c>
      <c r="AN11" s="933"/>
      <c r="AO11" s="933"/>
      <c r="AP11" s="933"/>
      <c r="AQ11" s="933"/>
      <c r="AR11" s="933"/>
      <c r="AS11" s="933"/>
      <c r="AT11" s="932"/>
      <c r="AU11" s="933"/>
      <c r="AV11" s="933"/>
      <c r="AW11" s="933"/>
      <c r="AX11" s="933"/>
      <c r="AY11" s="933">
        <v>3</v>
      </c>
      <c r="AZ11" s="933"/>
      <c r="BA11" s="932">
        <v>8</v>
      </c>
      <c r="BB11" s="933"/>
      <c r="BC11" s="933"/>
      <c r="BD11" s="933"/>
      <c r="BE11" s="933">
        <v>3</v>
      </c>
      <c r="BF11" s="933"/>
      <c r="BG11" s="933"/>
      <c r="BH11" s="932">
        <v>8</v>
      </c>
      <c r="BI11" s="933"/>
      <c r="BJ11" s="933">
        <v>3</v>
      </c>
      <c r="BK11" s="933"/>
      <c r="BL11" s="933"/>
      <c r="BM11" s="933"/>
      <c r="BN11" s="933"/>
      <c r="BO11" s="932"/>
      <c r="BP11" s="933">
        <v>3</v>
      </c>
      <c r="BQ11" s="933"/>
      <c r="BR11" s="933">
        <v>3</v>
      </c>
      <c r="BS11" s="528">
        <f t="shared" si="7"/>
        <v>15</v>
      </c>
      <c r="BT11" s="528">
        <f t="shared" si="8"/>
        <v>16</v>
      </c>
      <c r="BU11" s="528">
        <f t="shared" si="9"/>
        <v>0</v>
      </c>
      <c r="BV11" s="676"/>
      <c r="BW11" s="676">
        <f t="shared" si="14"/>
        <v>5</v>
      </c>
      <c r="BX11" s="789"/>
      <c r="BY11" s="788"/>
      <c r="BZ11" s="789"/>
      <c r="CD11" s="529">
        <f>17.85-15</f>
        <v>2.8500000000000014</v>
      </c>
    </row>
    <row r="12" spans="1:95" s="529" customFormat="1" ht="21" customHeight="1" x14ac:dyDescent="0.25">
      <c r="A12" s="675">
        <f>'BANG LUONG 1'!A13</f>
        <v>7</v>
      </c>
      <c r="B12" s="263" t="str">
        <f>'BANG LUONG 1'!B13</f>
        <v>NV11</v>
      </c>
      <c r="C12" s="263" t="str">
        <f>'BANG LUONG 1'!C13</f>
        <v>Nguyễn Thế Lực</v>
      </c>
      <c r="D12" s="263" t="str">
        <f>'BANG LUONG 1'!D13</f>
        <v xml:space="preserve">Công nhân </v>
      </c>
      <c r="E12" s="933">
        <v>0.5</v>
      </c>
      <c r="F12" s="933">
        <v>1</v>
      </c>
      <c r="G12" s="933">
        <v>1</v>
      </c>
      <c r="H12" s="933">
        <v>1</v>
      </c>
      <c r="I12" s="933">
        <v>1</v>
      </c>
      <c r="J12" s="933" t="s">
        <v>506</v>
      </c>
      <c r="K12" s="932"/>
      <c r="L12" s="933" t="s">
        <v>915</v>
      </c>
      <c r="M12" s="933">
        <v>1</v>
      </c>
      <c r="N12" s="933">
        <v>1</v>
      </c>
      <c r="O12" s="933">
        <v>1</v>
      </c>
      <c r="P12" s="933">
        <v>1</v>
      </c>
      <c r="Q12" s="933">
        <v>1</v>
      </c>
      <c r="R12" s="932"/>
      <c r="S12" s="933">
        <v>1</v>
      </c>
      <c r="T12" s="933">
        <v>1</v>
      </c>
      <c r="U12" s="933">
        <v>1</v>
      </c>
      <c r="V12" s="933">
        <v>1</v>
      </c>
      <c r="W12" s="933">
        <v>1</v>
      </c>
      <c r="X12" s="933">
        <v>1</v>
      </c>
      <c r="Y12" s="932"/>
      <c r="Z12" s="933">
        <v>1</v>
      </c>
      <c r="AA12" s="933">
        <v>1</v>
      </c>
      <c r="AB12" s="933">
        <v>1</v>
      </c>
      <c r="AC12" s="933">
        <v>1</v>
      </c>
      <c r="AD12" s="933">
        <v>1</v>
      </c>
      <c r="AE12" s="933">
        <v>1</v>
      </c>
      <c r="AF12" s="932"/>
      <c r="AG12" s="933">
        <v>1</v>
      </c>
      <c r="AH12" s="933">
        <v>1</v>
      </c>
      <c r="AI12" s="933">
        <v>1</v>
      </c>
      <c r="AJ12" s="555">
        <f t="shared" si="10"/>
        <v>24.5</v>
      </c>
      <c r="AK12" s="555">
        <f t="shared" si="11"/>
        <v>0</v>
      </c>
      <c r="AL12" s="555">
        <f t="shared" si="12"/>
        <v>1</v>
      </c>
      <c r="AM12" s="555">
        <f t="shared" si="13"/>
        <v>1</v>
      </c>
      <c r="AN12" s="933"/>
      <c r="AO12" s="933"/>
      <c r="AP12" s="933"/>
      <c r="AQ12" s="933"/>
      <c r="AR12" s="933">
        <v>3</v>
      </c>
      <c r="AS12" s="933"/>
      <c r="AT12" s="932"/>
      <c r="AU12" s="933"/>
      <c r="AV12" s="933"/>
      <c r="AW12" s="933"/>
      <c r="AX12" s="933"/>
      <c r="AY12" s="933">
        <v>3</v>
      </c>
      <c r="AZ12" s="933"/>
      <c r="BA12" s="932">
        <v>4</v>
      </c>
      <c r="BB12" s="933"/>
      <c r="BC12" s="933"/>
      <c r="BD12" s="933"/>
      <c r="BE12" s="933">
        <v>3</v>
      </c>
      <c r="BF12" s="933"/>
      <c r="BG12" s="933"/>
      <c r="BH12" s="932">
        <v>4</v>
      </c>
      <c r="BI12" s="933"/>
      <c r="BJ12" s="933">
        <v>3</v>
      </c>
      <c r="BK12" s="933"/>
      <c r="BL12" s="933"/>
      <c r="BM12" s="933"/>
      <c r="BN12" s="933"/>
      <c r="BO12" s="932"/>
      <c r="BP12" s="933">
        <v>3</v>
      </c>
      <c r="BQ12" s="933"/>
      <c r="BR12" s="933">
        <v>3</v>
      </c>
      <c r="BS12" s="528">
        <f t="shared" si="7"/>
        <v>18</v>
      </c>
      <c r="BT12" s="528">
        <f t="shared" si="8"/>
        <v>8</v>
      </c>
      <c r="BU12" s="528">
        <f t="shared" si="9"/>
        <v>0</v>
      </c>
      <c r="BV12" s="676"/>
      <c r="BW12" s="676">
        <f t="shared" si="14"/>
        <v>6</v>
      </c>
      <c r="BX12" s="789"/>
      <c r="BY12" s="788"/>
      <c r="BZ12" s="789">
        <f>1/8</f>
        <v>0.125</v>
      </c>
      <c r="CA12" s="817">
        <f>BZ12*9.5</f>
        <v>1.1875</v>
      </c>
      <c r="CB12" s="817">
        <f>BZ12*3</f>
        <v>0.375</v>
      </c>
      <c r="CC12" s="529">
        <f>15*1.5</f>
        <v>22.5</v>
      </c>
      <c r="CD12" s="529">
        <f>CC12/8</f>
        <v>2.8125</v>
      </c>
    </row>
    <row r="13" spans="1:95" s="529" customFormat="1" ht="21" customHeight="1" x14ac:dyDescent="0.25">
      <c r="A13" s="675">
        <f>'BANG LUONG 1'!A14</f>
        <v>8</v>
      </c>
      <c r="B13" s="263" t="str">
        <f>'BANG LUONG 1'!B14</f>
        <v>NV12</v>
      </c>
      <c r="C13" s="263" t="str">
        <f>'BANG LUONG 1'!C14</f>
        <v>Nguyễn Thành Vân</v>
      </c>
      <c r="D13" s="263" t="str">
        <f>'BANG LUONG 1'!D14</f>
        <v xml:space="preserve">Công nhân </v>
      </c>
      <c r="E13" s="933">
        <v>1</v>
      </c>
      <c r="F13" s="933">
        <v>1</v>
      </c>
      <c r="G13" s="933">
        <v>1</v>
      </c>
      <c r="H13" s="933">
        <v>1</v>
      </c>
      <c r="I13" s="933">
        <v>1</v>
      </c>
      <c r="J13" s="933">
        <v>1</v>
      </c>
      <c r="K13" s="932"/>
      <c r="L13" s="933" t="s">
        <v>915</v>
      </c>
      <c r="M13" s="933">
        <v>1</v>
      </c>
      <c r="N13" s="933">
        <v>1</v>
      </c>
      <c r="O13" s="933">
        <v>1</v>
      </c>
      <c r="P13" s="933">
        <v>1</v>
      </c>
      <c r="Q13" s="933">
        <v>1</v>
      </c>
      <c r="R13" s="932"/>
      <c r="S13" s="933">
        <v>1</v>
      </c>
      <c r="T13" s="933">
        <v>1</v>
      </c>
      <c r="U13" s="933">
        <v>1</v>
      </c>
      <c r="V13" s="933">
        <v>1</v>
      </c>
      <c r="W13" s="933">
        <v>1</v>
      </c>
      <c r="X13" s="933">
        <v>1</v>
      </c>
      <c r="Y13" s="932"/>
      <c r="Z13" s="933">
        <v>1</v>
      </c>
      <c r="AA13" s="933">
        <v>1</v>
      </c>
      <c r="AB13" s="933">
        <v>1</v>
      </c>
      <c r="AC13" s="933">
        <v>1</v>
      </c>
      <c r="AD13" s="933">
        <v>1</v>
      </c>
      <c r="AE13" s="933">
        <v>1</v>
      </c>
      <c r="AF13" s="932"/>
      <c r="AG13" s="933">
        <v>1</v>
      </c>
      <c r="AH13" s="933">
        <v>1</v>
      </c>
      <c r="AI13" s="933">
        <v>1</v>
      </c>
      <c r="AJ13" s="555">
        <f t="shared" si="10"/>
        <v>26</v>
      </c>
      <c r="AK13" s="555">
        <f t="shared" si="11"/>
        <v>0</v>
      </c>
      <c r="AL13" s="555">
        <f t="shared" si="12"/>
        <v>0</v>
      </c>
      <c r="AM13" s="555">
        <f t="shared" si="13"/>
        <v>1</v>
      </c>
      <c r="AN13" s="933"/>
      <c r="AO13" s="933"/>
      <c r="AP13" s="933"/>
      <c r="AQ13" s="933"/>
      <c r="AR13" s="933">
        <v>3</v>
      </c>
      <c r="AS13" s="933">
        <v>3</v>
      </c>
      <c r="AT13" s="932"/>
      <c r="AU13" s="933"/>
      <c r="AV13" s="933"/>
      <c r="AW13" s="933"/>
      <c r="AX13" s="933"/>
      <c r="AY13" s="933">
        <v>3</v>
      </c>
      <c r="AZ13" s="933"/>
      <c r="BA13" s="932"/>
      <c r="BB13" s="933"/>
      <c r="BC13" s="933"/>
      <c r="BD13" s="933"/>
      <c r="BE13" s="933">
        <v>3</v>
      </c>
      <c r="BF13" s="933"/>
      <c r="BG13" s="933"/>
      <c r="BH13" s="932">
        <v>8</v>
      </c>
      <c r="BI13" s="933"/>
      <c r="BJ13" s="933">
        <v>3</v>
      </c>
      <c r="BK13" s="933"/>
      <c r="BL13" s="933"/>
      <c r="BM13" s="933"/>
      <c r="BN13" s="933"/>
      <c r="BO13" s="932"/>
      <c r="BP13" s="933">
        <v>3</v>
      </c>
      <c r="BQ13" s="933"/>
      <c r="BR13" s="933">
        <v>3</v>
      </c>
      <c r="BS13" s="528">
        <f t="shared" si="7"/>
        <v>21</v>
      </c>
      <c r="BT13" s="528">
        <f>SUMIF($AN$4:$BR$4,"CN",AN13:BR13)</f>
        <v>8</v>
      </c>
      <c r="BU13" s="528">
        <f t="shared" si="9"/>
        <v>0</v>
      </c>
      <c r="BV13" s="676"/>
      <c r="BW13" s="676">
        <f t="shared" si="14"/>
        <v>7</v>
      </c>
      <c r="BX13" s="789"/>
      <c r="BY13" s="788"/>
      <c r="BZ13" s="789">
        <f>8+8/5</f>
        <v>9.6</v>
      </c>
      <c r="CA13" s="529">
        <v>1.51</v>
      </c>
      <c r="CB13" s="529">
        <v>1.06</v>
      </c>
      <c r="CC13" s="887">
        <f>5*130%</f>
        <v>6.5</v>
      </c>
      <c r="CD13" s="887">
        <f>CC13+3</f>
        <v>9.5</v>
      </c>
    </row>
    <row r="14" spans="1:95" s="529" customFormat="1" ht="21" customHeight="1" x14ac:dyDescent="0.25">
      <c r="A14" s="675">
        <f>'BANG LUONG 1'!A15</f>
        <v>9</v>
      </c>
      <c r="B14" s="263" t="str">
        <f>'BANG LUONG 1'!B15</f>
        <v>NV46</v>
      </c>
      <c r="C14" s="263" t="s">
        <v>886</v>
      </c>
      <c r="D14" s="263" t="str">
        <f>'BANG LUONG 1'!D15</f>
        <v xml:space="preserve">Công nhân </v>
      </c>
      <c r="E14" s="933">
        <v>1</v>
      </c>
      <c r="F14" s="933">
        <v>1</v>
      </c>
      <c r="G14" s="933">
        <v>1</v>
      </c>
      <c r="H14" s="933">
        <v>1</v>
      </c>
      <c r="I14" s="933">
        <v>1</v>
      </c>
      <c r="J14" s="933">
        <v>1</v>
      </c>
      <c r="K14" s="932"/>
      <c r="L14" s="933" t="s">
        <v>915</v>
      </c>
      <c r="M14" s="933">
        <v>1</v>
      </c>
      <c r="N14" s="933">
        <v>1</v>
      </c>
      <c r="O14" s="933">
        <v>1</v>
      </c>
      <c r="P14" s="933">
        <v>1</v>
      </c>
      <c r="Q14" s="933">
        <v>1</v>
      </c>
      <c r="R14" s="932"/>
      <c r="S14" s="933">
        <v>1</v>
      </c>
      <c r="T14" s="933">
        <v>1</v>
      </c>
      <c r="U14" s="933">
        <v>1</v>
      </c>
      <c r="V14" s="933">
        <v>1</v>
      </c>
      <c r="W14" s="933">
        <v>1</v>
      </c>
      <c r="X14" s="933">
        <v>1</v>
      </c>
      <c r="Y14" s="932"/>
      <c r="Z14" s="933">
        <v>1</v>
      </c>
      <c r="AA14" s="933">
        <v>1</v>
      </c>
      <c r="AB14" s="933">
        <v>1</v>
      </c>
      <c r="AC14" s="933">
        <v>1</v>
      </c>
      <c r="AD14" s="933">
        <v>1</v>
      </c>
      <c r="AE14" s="933">
        <v>1</v>
      </c>
      <c r="AF14" s="932"/>
      <c r="AG14" s="933">
        <v>1</v>
      </c>
      <c r="AH14" s="933">
        <v>1</v>
      </c>
      <c r="AI14" s="933">
        <v>1</v>
      </c>
      <c r="AJ14" s="555">
        <f t="shared" ref="AJ14:AJ15" si="15">SUM(E14:AI14)-AK14</f>
        <v>26</v>
      </c>
      <c r="AK14" s="555">
        <f t="shared" ref="AK14:AK15" si="16">SUMIF($E$4:$AI$4,"LT",E14:AI14)</f>
        <v>0</v>
      </c>
      <c r="AL14" s="555">
        <f t="shared" ref="AL14:AL15" si="17">COUNTIF(E14:AI14,"P")</f>
        <v>0</v>
      </c>
      <c r="AM14" s="555">
        <f t="shared" ref="AM14:AM15" si="18">COUNTIF(E14:AI14,"LT")</f>
        <v>1</v>
      </c>
      <c r="AN14" s="933"/>
      <c r="AO14" s="933"/>
      <c r="AP14" s="933"/>
      <c r="AQ14" s="933"/>
      <c r="AR14" s="933">
        <v>3</v>
      </c>
      <c r="AS14" s="933"/>
      <c r="AT14" s="932"/>
      <c r="AU14" s="933"/>
      <c r="AV14" s="933"/>
      <c r="AW14" s="933"/>
      <c r="AX14" s="933"/>
      <c r="AY14" s="933">
        <v>3</v>
      </c>
      <c r="AZ14" s="933"/>
      <c r="BA14" s="932">
        <v>8</v>
      </c>
      <c r="BB14" s="933"/>
      <c r="BC14" s="933"/>
      <c r="BD14" s="933"/>
      <c r="BE14" s="933">
        <v>3</v>
      </c>
      <c r="BF14" s="933"/>
      <c r="BG14" s="933"/>
      <c r="BH14" s="932">
        <v>8</v>
      </c>
      <c r="BI14" s="933"/>
      <c r="BJ14" s="933">
        <v>3</v>
      </c>
      <c r="BK14" s="933"/>
      <c r="BL14" s="933"/>
      <c r="BM14" s="933"/>
      <c r="BN14" s="933"/>
      <c r="BO14" s="932"/>
      <c r="BP14" s="933">
        <v>3</v>
      </c>
      <c r="BQ14" s="933"/>
      <c r="BR14" s="933">
        <v>3</v>
      </c>
      <c r="BS14" s="528">
        <f t="shared" ref="BS14:BS16" si="19">SUM(AN14:BR14)-BT14</f>
        <v>18</v>
      </c>
      <c r="BT14" s="528">
        <f t="shared" ref="BT14:BT16" si="20">SUMIF($AN$4:$BR$4,"CN",AN14:BR14)</f>
        <v>16</v>
      </c>
      <c r="BU14" s="528">
        <f t="shared" ref="BU14:BU16" si="21">SUMIF($AN$4:$BR$4,"LT",AN14:BR14)</f>
        <v>0</v>
      </c>
      <c r="BV14" s="884"/>
      <c r="BW14" s="786">
        <f t="shared" si="14"/>
        <v>6</v>
      </c>
      <c r="BX14" s="789"/>
      <c r="BY14" s="788"/>
      <c r="BZ14" s="789"/>
      <c r="CB14" s="887">
        <f>8+(5*30%)</f>
        <v>9.5</v>
      </c>
      <c r="CC14" s="529">
        <f>5*30%</f>
        <v>1.5</v>
      </c>
      <c r="CD14" s="529">
        <f>CB14-8</f>
        <v>1.5</v>
      </c>
      <c r="CF14" s="529">
        <f>5*130%</f>
        <v>6.5</v>
      </c>
      <c r="CG14" s="529">
        <f>CF14+3</f>
        <v>9.5</v>
      </c>
    </row>
    <row r="15" spans="1:95" s="529" customFormat="1" ht="21" customHeight="1" x14ac:dyDescent="0.25">
      <c r="A15" s="675">
        <f>'BANG LUONG 1'!A16</f>
        <v>10</v>
      </c>
      <c r="B15" s="263" t="str">
        <f>'BANG LUONG 1'!B16</f>
        <v>NV47</v>
      </c>
      <c r="C15" s="263" t="s">
        <v>887</v>
      </c>
      <c r="D15" s="263" t="str">
        <f>'BANG LUONG 1'!D16</f>
        <v xml:space="preserve">Công nhân </v>
      </c>
      <c r="E15" s="933"/>
      <c r="F15" s="933"/>
      <c r="G15" s="933"/>
      <c r="H15" s="933"/>
      <c r="I15" s="933"/>
      <c r="J15" s="933"/>
      <c r="K15" s="932"/>
      <c r="L15" s="933"/>
      <c r="M15" s="933"/>
      <c r="N15" s="933"/>
      <c r="O15" s="933"/>
      <c r="P15" s="933"/>
      <c r="Q15" s="933"/>
      <c r="R15" s="932"/>
      <c r="S15" s="933"/>
      <c r="T15" s="933"/>
      <c r="U15" s="933"/>
      <c r="V15" s="933"/>
      <c r="W15" s="933"/>
      <c r="X15" s="933"/>
      <c r="Y15" s="932"/>
      <c r="Z15" s="933"/>
      <c r="AA15" s="933"/>
      <c r="AB15" s="933"/>
      <c r="AC15" s="933"/>
      <c r="AD15" s="933"/>
      <c r="AE15" s="933"/>
      <c r="AF15" s="932"/>
      <c r="AG15" s="933"/>
      <c r="AH15" s="933"/>
      <c r="AI15" s="933"/>
      <c r="AJ15" s="555">
        <f t="shared" si="15"/>
        <v>0</v>
      </c>
      <c r="AK15" s="555">
        <f t="shared" si="16"/>
        <v>0</v>
      </c>
      <c r="AL15" s="555">
        <f t="shared" si="17"/>
        <v>0</v>
      </c>
      <c r="AM15" s="555">
        <f t="shared" si="18"/>
        <v>0</v>
      </c>
      <c r="AN15" s="933"/>
      <c r="AO15" s="933"/>
      <c r="AP15" s="933"/>
      <c r="AQ15" s="933"/>
      <c r="AR15" s="933"/>
      <c r="AS15" s="933"/>
      <c r="AT15" s="932"/>
      <c r="AU15" s="933"/>
      <c r="AV15" s="933"/>
      <c r="AW15" s="933"/>
      <c r="AX15" s="933"/>
      <c r="AY15" s="933"/>
      <c r="AZ15" s="933"/>
      <c r="BA15" s="932"/>
      <c r="BB15" s="933"/>
      <c r="BC15" s="933"/>
      <c r="BD15" s="933"/>
      <c r="BE15" s="933"/>
      <c r="BF15" s="933"/>
      <c r="BG15" s="933"/>
      <c r="BH15" s="932"/>
      <c r="BI15" s="933"/>
      <c r="BJ15" s="933"/>
      <c r="BK15" s="933"/>
      <c r="BL15" s="933"/>
      <c r="BM15" s="933"/>
      <c r="BN15" s="933"/>
      <c r="BO15" s="932"/>
      <c r="BP15" s="933"/>
      <c r="BQ15" s="933"/>
      <c r="BR15" s="933"/>
      <c r="BS15" s="528">
        <f t="shared" si="19"/>
        <v>0</v>
      </c>
      <c r="BT15" s="528">
        <f t="shared" si="20"/>
        <v>0</v>
      </c>
      <c r="BU15" s="528">
        <f t="shared" si="21"/>
        <v>0</v>
      </c>
      <c r="BV15" s="884"/>
      <c r="BW15" s="786">
        <f t="shared" si="14"/>
        <v>0</v>
      </c>
      <c r="BX15" s="789"/>
      <c r="BY15" s="788"/>
      <c r="BZ15" s="789">
        <f>5*15</f>
        <v>75</v>
      </c>
      <c r="CA15" s="817">
        <f>CA16*30%</f>
        <v>54168.750000000007</v>
      </c>
      <c r="CB15" s="968">
        <f>1/CB14</f>
        <v>0.10526315789473684</v>
      </c>
      <c r="CC15" s="817">
        <f>CC14+CB12</f>
        <v>1.875</v>
      </c>
    </row>
    <row r="16" spans="1:95" ht="21" customHeight="1" x14ac:dyDescent="0.25">
      <c r="A16" s="675">
        <f>'BANG LUONG 1'!A17</f>
        <v>11</v>
      </c>
      <c r="B16" s="263" t="str">
        <f>'BANG LUONG 1'!B17</f>
        <v>NV38</v>
      </c>
      <c r="C16" s="263" t="str">
        <f>'BANG LUONG 1'!C17</f>
        <v>Nguyễn Văn Rắng</v>
      </c>
      <c r="D16" s="263" t="str">
        <f>'BANG LUONG 1'!D17</f>
        <v xml:space="preserve">Công nhân </v>
      </c>
      <c r="E16" s="933">
        <v>1</v>
      </c>
      <c r="F16" s="933">
        <v>1</v>
      </c>
      <c r="G16" s="933">
        <v>1</v>
      </c>
      <c r="H16" s="933">
        <v>1</v>
      </c>
      <c r="I16" s="933">
        <v>1</v>
      </c>
      <c r="J16" s="933">
        <v>1</v>
      </c>
      <c r="K16" s="932"/>
      <c r="L16" s="933" t="s">
        <v>915</v>
      </c>
      <c r="M16" s="933">
        <v>1</v>
      </c>
      <c r="N16" s="933">
        <v>1</v>
      </c>
      <c r="O16" s="933">
        <v>1</v>
      </c>
      <c r="P16" s="933">
        <v>1</v>
      </c>
      <c r="Q16" s="933">
        <v>1</v>
      </c>
      <c r="R16" s="932"/>
      <c r="S16" s="933">
        <v>1</v>
      </c>
      <c r="T16" s="933">
        <v>1</v>
      </c>
      <c r="U16" s="933">
        <v>1</v>
      </c>
      <c r="V16" s="933">
        <v>1</v>
      </c>
      <c r="W16" s="933">
        <v>1</v>
      </c>
      <c r="X16" s="933">
        <v>1</v>
      </c>
      <c r="Y16" s="932"/>
      <c r="Z16" s="933">
        <v>1</v>
      </c>
      <c r="AA16" s="933">
        <v>1</v>
      </c>
      <c r="AB16" s="933">
        <v>1</v>
      </c>
      <c r="AC16" s="933">
        <v>1</v>
      </c>
      <c r="AD16" s="933">
        <v>1</v>
      </c>
      <c r="AE16" s="933">
        <v>1</v>
      </c>
      <c r="AF16" s="932"/>
      <c r="AG16" s="933">
        <v>1</v>
      </c>
      <c r="AH16" s="933">
        <v>1</v>
      </c>
      <c r="AI16" s="933">
        <v>1</v>
      </c>
      <c r="AJ16" s="555">
        <f>SUM(E16:AI16)-AK16</f>
        <v>26</v>
      </c>
      <c r="AK16" s="555">
        <f>SUMIF($E$4:$AI$4,"LT",E16:AI16)</f>
        <v>0</v>
      </c>
      <c r="AL16" s="555">
        <f>COUNTIF(E16:AI16,"P")</f>
        <v>0</v>
      </c>
      <c r="AM16" s="555">
        <f>COUNTIF(E16:AI16,"LT")</f>
        <v>1</v>
      </c>
      <c r="AN16" s="933"/>
      <c r="AO16" s="933"/>
      <c r="AP16" s="933"/>
      <c r="AQ16" s="933"/>
      <c r="AR16" s="933">
        <v>3</v>
      </c>
      <c r="AS16" s="933">
        <v>3</v>
      </c>
      <c r="AT16" s="932"/>
      <c r="AU16" s="933"/>
      <c r="AV16" s="933"/>
      <c r="AW16" s="933"/>
      <c r="AX16" s="933"/>
      <c r="AY16" s="933">
        <v>3</v>
      </c>
      <c r="AZ16" s="933"/>
      <c r="BA16" s="932">
        <v>8</v>
      </c>
      <c r="BB16" s="933"/>
      <c r="BC16" s="933"/>
      <c r="BD16" s="933"/>
      <c r="BE16" s="933"/>
      <c r="BF16" s="933"/>
      <c r="BG16" s="933"/>
      <c r="BH16" s="932">
        <v>8</v>
      </c>
      <c r="BI16" s="933"/>
      <c r="BJ16" s="933">
        <v>3</v>
      </c>
      <c r="BK16" s="933"/>
      <c r="BL16" s="933"/>
      <c r="BM16" s="933"/>
      <c r="BN16" s="933"/>
      <c r="BO16" s="932"/>
      <c r="BP16" s="933">
        <v>3</v>
      </c>
      <c r="BQ16" s="933">
        <v>3</v>
      </c>
      <c r="BR16" s="933">
        <v>3</v>
      </c>
      <c r="BS16" s="528">
        <f t="shared" si="19"/>
        <v>21</v>
      </c>
      <c r="BT16" s="528">
        <f t="shared" si="20"/>
        <v>16</v>
      </c>
      <c r="BU16" s="528">
        <f t="shared" si="21"/>
        <v>0</v>
      </c>
      <c r="BV16" s="676"/>
      <c r="BW16" s="676">
        <f>COUNTIFS(AN16:BR16,"&gt;="&amp;$BW$3,$AN$4:$BR$4,"&lt;&gt;CN")</f>
        <v>7</v>
      </c>
      <c r="BX16" s="793"/>
      <c r="BY16" s="886">
        <v>4694625.0000000009</v>
      </c>
      <c r="BZ16" s="789"/>
      <c r="CA16" s="789">
        <f>CA17/15</f>
        <v>180562.50000000003</v>
      </c>
      <c r="CB16" s="789">
        <f>24000*15</f>
        <v>360000</v>
      </c>
    </row>
    <row r="17" spans="1:80" s="794" customFormat="1" ht="21" customHeight="1" x14ac:dyDescent="0.25">
      <c r="A17" s="803">
        <f>'BANG LUONG 1'!A18</f>
        <v>12</v>
      </c>
      <c r="B17" s="803" t="str">
        <f>'BANG LUONG 1'!B18</f>
        <v>NV29</v>
      </c>
      <c r="C17" s="803" t="str">
        <f>'BANG LUONG 1'!C18</f>
        <v>Phan Văn Bạn</v>
      </c>
      <c r="D17" s="263" t="str">
        <f>'BANG LUONG 1'!D18</f>
        <v>Lái xe cơ giới</v>
      </c>
      <c r="E17" s="933">
        <v>1</v>
      </c>
      <c r="F17" s="933">
        <v>1</v>
      </c>
      <c r="G17" s="933">
        <v>1</v>
      </c>
      <c r="H17" s="933">
        <v>1</v>
      </c>
      <c r="I17" s="933">
        <v>1</v>
      </c>
      <c r="J17" s="933">
        <v>1</v>
      </c>
      <c r="K17" s="932"/>
      <c r="L17" s="933" t="s">
        <v>915</v>
      </c>
      <c r="M17" s="933" t="s">
        <v>506</v>
      </c>
      <c r="N17" s="933">
        <v>1</v>
      </c>
      <c r="O17" s="933">
        <v>1</v>
      </c>
      <c r="P17" s="933">
        <v>1</v>
      </c>
      <c r="Q17" s="933">
        <v>1</v>
      </c>
      <c r="R17" s="932"/>
      <c r="S17" s="933">
        <v>1</v>
      </c>
      <c r="T17" s="933">
        <v>1</v>
      </c>
      <c r="U17" s="933">
        <v>1</v>
      </c>
      <c r="V17" s="933">
        <v>1</v>
      </c>
      <c r="W17" s="933">
        <v>1</v>
      </c>
      <c r="X17" s="933">
        <v>1</v>
      </c>
      <c r="Y17" s="932"/>
      <c r="Z17" s="933">
        <v>1</v>
      </c>
      <c r="AA17" s="933">
        <v>1</v>
      </c>
      <c r="AB17" s="933">
        <v>1</v>
      </c>
      <c r="AC17" s="933">
        <v>1</v>
      </c>
      <c r="AD17" s="933">
        <v>1</v>
      </c>
      <c r="AE17" s="933">
        <v>1</v>
      </c>
      <c r="AF17" s="932"/>
      <c r="AG17" s="933">
        <v>1</v>
      </c>
      <c r="AH17" s="933">
        <v>1</v>
      </c>
      <c r="AI17" s="933">
        <v>1</v>
      </c>
      <c r="AJ17" s="555">
        <f>SUM(E17:AI17)-AK17</f>
        <v>25</v>
      </c>
      <c r="AK17" s="555">
        <f>SUMIF($E$4:$AI$4,"LT",E17:AI17)</f>
        <v>0</v>
      </c>
      <c r="AL17" s="555">
        <f>COUNTIF(E17:AI17,"P")</f>
        <v>1</v>
      </c>
      <c r="AM17" s="555">
        <f>COUNTIF(E17:AI17,"LT")</f>
        <v>1</v>
      </c>
      <c r="AN17" s="933"/>
      <c r="AO17" s="933"/>
      <c r="AP17" s="933"/>
      <c r="AQ17" s="933"/>
      <c r="AR17" s="933">
        <v>3</v>
      </c>
      <c r="AS17" s="933">
        <v>3</v>
      </c>
      <c r="AT17" s="932"/>
      <c r="AU17" s="933"/>
      <c r="AV17" s="933"/>
      <c r="AW17" s="933"/>
      <c r="AX17" s="933"/>
      <c r="AY17" s="933">
        <v>3</v>
      </c>
      <c r="AZ17" s="933"/>
      <c r="BA17" s="932">
        <v>8</v>
      </c>
      <c r="BB17" s="933"/>
      <c r="BC17" s="933"/>
      <c r="BD17" s="933"/>
      <c r="BE17" s="933">
        <v>3</v>
      </c>
      <c r="BF17" s="933"/>
      <c r="BG17" s="933"/>
      <c r="BH17" s="932">
        <v>8</v>
      </c>
      <c r="BI17" s="933"/>
      <c r="BJ17" s="933">
        <v>3</v>
      </c>
      <c r="BK17" s="933"/>
      <c r="BL17" s="933"/>
      <c r="BM17" s="933"/>
      <c r="BN17" s="933"/>
      <c r="BO17" s="932"/>
      <c r="BP17" s="933">
        <v>3</v>
      </c>
      <c r="BQ17" s="933">
        <v>3</v>
      </c>
      <c r="BR17" s="933">
        <v>3</v>
      </c>
      <c r="BS17" s="528">
        <f>SUM(AN17:BR17)-BT17</f>
        <v>24</v>
      </c>
      <c r="BT17" s="528">
        <f>SUMIF($AN$4:$BR$4,"CN",AN17:BR17)</f>
        <v>16</v>
      </c>
      <c r="BU17" s="528">
        <f>SUMIF($AN$4:$BR$4,"LT",AN17:BR17)</f>
        <v>0</v>
      </c>
      <c r="BV17" s="786"/>
      <c r="BW17" s="676">
        <f>COUNTIFS(AN17:BR17,"&gt;="&amp;$BW$3,$AN$4:$BR$4,"&lt;&gt;CN")</f>
        <v>8</v>
      </c>
      <c r="BX17" s="793"/>
      <c r="BY17" s="886">
        <v>4413750</v>
      </c>
      <c r="CA17" s="967">
        <f>BY16/26*15</f>
        <v>2708437.5000000005</v>
      </c>
      <c r="CB17" s="967">
        <f>CA17*5*30%+24000</f>
        <v>4086656.2500000005</v>
      </c>
    </row>
    <row r="18" spans="1:80" s="705" customFormat="1" x14ac:dyDescent="0.25">
      <c r="A18" s="703"/>
      <c r="B18" s="703"/>
      <c r="C18" s="709" t="str">
        <f>'BANG LUONG 1'!C19</f>
        <v>TÀI XẾ</v>
      </c>
      <c r="D18" s="703"/>
      <c r="E18" s="703"/>
      <c r="F18" s="703"/>
      <c r="G18" s="703"/>
      <c r="H18" s="703"/>
      <c r="I18" s="703"/>
      <c r="J18" s="703"/>
      <c r="K18" s="703"/>
      <c r="L18" s="703"/>
      <c r="M18" s="703"/>
      <c r="N18" s="703"/>
      <c r="O18" s="703"/>
      <c r="P18" s="703"/>
      <c r="Q18" s="703"/>
      <c r="R18" s="703"/>
      <c r="S18" s="703"/>
      <c r="T18" s="703"/>
      <c r="U18" s="703"/>
      <c r="V18" s="703"/>
      <c r="W18" s="703"/>
      <c r="X18" s="703"/>
      <c r="Y18" s="703"/>
      <c r="Z18" s="703"/>
      <c r="AA18" s="703"/>
      <c r="AB18" s="703"/>
      <c r="AC18" s="703"/>
      <c r="AD18" s="703"/>
      <c r="AE18" s="703"/>
      <c r="AF18" s="703"/>
      <c r="AG18" s="703"/>
      <c r="AH18" s="703"/>
      <c r="AI18" s="703"/>
      <c r="AJ18" s="703"/>
      <c r="AK18" s="703"/>
      <c r="AL18" s="703"/>
      <c r="AM18" s="703"/>
      <c r="AN18" s="932"/>
      <c r="AO18" s="932"/>
      <c r="AP18" s="932"/>
      <c r="AQ18" s="932"/>
      <c r="AR18" s="932"/>
      <c r="AS18" s="932"/>
      <c r="AT18" s="932"/>
      <c r="AU18" s="932"/>
      <c r="AV18" s="932"/>
      <c r="AW18" s="932"/>
      <c r="AX18" s="932"/>
      <c r="AY18" s="932"/>
      <c r="AZ18" s="932"/>
      <c r="BA18" s="932"/>
      <c r="BB18" s="932"/>
      <c r="BC18" s="932"/>
      <c r="BD18" s="932"/>
      <c r="BE18" s="932"/>
      <c r="BF18" s="932"/>
      <c r="BG18" s="932"/>
      <c r="BH18" s="932"/>
      <c r="BI18" s="932"/>
      <c r="BJ18" s="932"/>
      <c r="BK18" s="932"/>
      <c r="BL18" s="932"/>
      <c r="BM18" s="932"/>
      <c r="BN18" s="932"/>
      <c r="BO18" s="932"/>
      <c r="BP18" s="932"/>
      <c r="BQ18" s="932"/>
      <c r="BR18" s="932"/>
      <c r="BS18" s="703"/>
      <c r="BT18" s="703"/>
      <c r="BU18" s="703"/>
      <c r="BV18" s="703"/>
      <c r="BW18" s="703"/>
      <c r="BX18" s="741"/>
    </row>
    <row r="19" spans="1:80" s="796" customFormat="1" x14ac:dyDescent="0.25">
      <c r="A19" s="263">
        <f>'BANG LUONG 1'!A20</f>
        <v>13</v>
      </c>
      <c r="B19" s="263" t="str">
        <f>'BANG LUONG 1'!B20</f>
        <v>NV13</v>
      </c>
      <c r="C19" s="263" t="str">
        <f>'BANG LUONG 1'!C20</f>
        <v>Triệu Minh Tú</v>
      </c>
      <c r="D19" s="263" t="str">
        <f>'BANG LUONG 1'!D20</f>
        <v>Lái xe cơ giới</v>
      </c>
      <c r="E19" s="933">
        <v>1</v>
      </c>
      <c r="F19" s="933">
        <v>1</v>
      </c>
      <c r="G19" s="933">
        <v>1</v>
      </c>
      <c r="H19" s="933">
        <v>1</v>
      </c>
      <c r="I19" s="933">
        <v>1</v>
      </c>
      <c r="J19" s="933">
        <v>1</v>
      </c>
      <c r="K19" s="932"/>
      <c r="L19" s="933" t="s">
        <v>915</v>
      </c>
      <c r="M19" s="933">
        <v>1</v>
      </c>
      <c r="N19" s="933">
        <v>1</v>
      </c>
      <c r="O19" s="933">
        <v>1</v>
      </c>
      <c r="P19" s="933">
        <v>1</v>
      </c>
      <c r="Q19" s="933">
        <v>1</v>
      </c>
      <c r="R19" s="932"/>
      <c r="S19" s="933">
        <v>1.19</v>
      </c>
      <c r="T19" s="933">
        <v>1.19</v>
      </c>
      <c r="U19" s="933">
        <v>1.19</v>
      </c>
      <c r="V19" s="933">
        <v>1.19</v>
      </c>
      <c r="W19" s="933">
        <v>1.19</v>
      </c>
      <c r="X19" s="933">
        <v>1.19</v>
      </c>
      <c r="Y19" s="703"/>
      <c r="Z19" s="933">
        <v>1.19</v>
      </c>
      <c r="AA19" s="933">
        <v>1.19</v>
      </c>
      <c r="AB19" s="933">
        <v>1.19</v>
      </c>
      <c r="AC19" s="933">
        <v>1.19</v>
      </c>
      <c r="AD19" s="933">
        <v>1.19</v>
      </c>
      <c r="AE19" s="933">
        <v>1.19</v>
      </c>
      <c r="AF19" s="703"/>
      <c r="AG19" s="933">
        <v>1.19</v>
      </c>
      <c r="AH19" s="933">
        <v>2.19</v>
      </c>
      <c r="AI19" s="933">
        <v>1.19</v>
      </c>
      <c r="AJ19" s="555">
        <f>SUM(E19:AI19)-AK19</f>
        <v>29.850000000000012</v>
      </c>
      <c r="AK19" s="555">
        <f>SUMIF($E$4:$AI$4,"LT",E19:AI19)</f>
        <v>0</v>
      </c>
      <c r="AL19" s="555">
        <f>COUNTIF(E19:AI19,"P")</f>
        <v>0</v>
      </c>
      <c r="AM19" s="555">
        <f>COUNTIF(E19:AI19,"LT")</f>
        <v>1</v>
      </c>
      <c r="AN19" s="933"/>
      <c r="AO19" s="933"/>
      <c r="AP19" s="933"/>
      <c r="AQ19" s="933"/>
      <c r="AR19" s="933"/>
      <c r="AS19" s="933"/>
      <c r="AT19" s="932"/>
      <c r="AU19" s="933"/>
      <c r="AV19" s="933">
        <v>3</v>
      </c>
      <c r="AW19" s="933"/>
      <c r="AX19" s="933"/>
      <c r="AY19" s="933"/>
      <c r="AZ19" s="933"/>
      <c r="BA19" s="932"/>
      <c r="BB19" s="933"/>
      <c r="BC19" s="933">
        <v>2</v>
      </c>
      <c r="BD19" s="933">
        <v>2</v>
      </c>
      <c r="BE19" s="933">
        <v>2</v>
      </c>
      <c r="BF19" s="933">
        <v>2</v>
      </c>
      <c r="BG19" s="933">
        <v>2</v>
      </c>
      <c r="BH19" s="932">
        <v>3</v>
      </c>
      <c r="BI19" s="933">
        <v>2</v>
      </c>
      <c r="BJ19" s="933">
        <v>2</v>
      </c>
      <c r="BK19" s="933">
        <v>2</v>
      </c>
      <c r="BL19" s="933">
        <v>2</v>
      </c>
      <c r="BM19" s="933">
        <v>2</v>
      </c>
      <c r="BN19" s="933">
        <v>2</v>
      </c>
      <c r="BO19" s="932">
        <v>3</v>
      </c>
      <c r="BP19" s="933">
        <v>2</v>
      </c>
      <c r="BQ19" s="933">
        <v>1</v>
      </c>
      <c r="BR19" s="933">
        <v>2</v>
      </c>
      <c r="BS19" s="528">
        <f t="shared" ref="BS19:BS23" si="22">SUM(AN19:BR19)-BT19</f>
        <v>30</v>
      </c>
      <c r="BT19" s="528">
        <f t="shared" ref="BT19:BT23" si="23">SUMIF($AN$4:$BR$4,"CN",AN19:BR19)</f>
        <v>6</v>
      </c>
      <c r="BU19" s="528">
        <f t="shared" ref="BU19:BU23" si="24">SUMIF($AN$4:$BR$4,"LT",AN19:BR19)</f>
        <v>0</v>
      </c>
      <c r="BV19" s="786"/>
      <c r="BW19" s="676">
        <f>COUNTIFS(AN19:BR19,"&gt;="&amp;$BW$3,$AN$4:$BR$4,"&lt;&gt;CN")</f>
        <v>1</v>
      </c>
      <c r="BX19" s="793">
        <f>+AJ19*8+BS19+BT19+AK19*8</f>
        <v>274.80000000000007</v>
      </c>
      <c r="BY19" s="796">
        <f>+BX19/2</f>
        <v>137.40000000000003</v>
      </c>
      <c r="BZ19" s="822">
        <f>SUM((BY16+24000))/(26*8)*7*30%</f>
        <v>47639.963942307702</v>
      </c>
      <c r="CA19" s="886">
        <f>(BY16/8)*5*30%+24000</f>
        <v>904242.18750000012</v>
      </c>
    </row>
    <row r="20" spans="1:80" s="796" customFormat="1" x14ac:dyDescent="0.25">
      <c r="A20" s="263">
        <f>'BANG LUONG 1'!A21</f>
        <v>14</v>
      </c>
      <c r="B20" s="263" t="str">
        <f>'BANG LUONG 1'!B21</f>
        <v>NV14</v>
      </c>
      <c r="C20" s="263" t="str">
        <f>'BANG LUONG 1'!C21</f>
        <v>Nguyễn Văn Chạy</v>
      </c>
      <c r="D20" s="263" t="str">
        <f>'BANG LUONG 1'!D21</f>
        <v>Lái xe cơ giới</v>
      </c>
      <c r="E20" s="933">
        <v>1</v>
      </c>
      <c r="F20" s="933">
        <v>1</v>
      </c>
      <c r="G20" s="942" t="s">
        <v>506</v>
      </c>
      <c r="H20" s="942" t="s">
        <v>506</v>
      </c>
      <c r="I20" s="942" t="s">
        <v>506</v>
      </c>
      <c r="J20" s="933">
        <v>1</v>
      </c>
      <c r="K20" s="932"/>
      <c r="L20" s="933" t="s">
        <v>915</v>
      </c>
      <c r="M20" s="933">
        <v>1</v>
      </c>
      <c r="N20" s="933">
        <v>1</v>
      </c>
      <c r="O20" s="933">
        <v>1</v>
      </c>
      <c r="P20" s="933">
        <v>1</v>
      </c>
      <c r="Q20" s="933">
        <v>1</v>
      </c>
      <c r="R20" s="932"/>
      <c r="S20" s="933">
        <v>1</v>
      </c>
      <c r="T20" s="933">
        <v>1</v>
      </c>
      <c r="U20" s="933" t="s">
        <v>506</v>
      </c>
      <c r="V20" s="933">
        <v>1</v>
      </c>
      <c r="W20" s="933">
        <v>1</v>
      </c>
      <c r="X20" s="933">
        <v>1</v>
      </c>
      <c r="Y20" s="703"/>
      <c r="Z20" s="933">
        <v>1</v>
      </c>
      <c r="AA20" s="933">
        <v>1</v>
      </c>
      <c r="AB20" s="933">
        <v>1</v>
      </c>
      <c r="AC20" s="933">
        <v>1</v>
      </c>
      <c r="AD20" s="933">
        <v>1</v>
      </c>
      <c r="AE20" s="933">
        <v>1</v>
      </c>
      <c r="AF20" s="703"/>
      <c r="AG20" s="933">
        <v>1</v>
      </c>
      <c r="AH20" s="933">
        <v>1</v>
      </c>
      <c r="AI20" s="933">
        <v>1</v>
      </c>
      <c r="AJ20" s="555">
        <f t="shared" ref="AJ20:AJ35" si="25">SUM(E20:AI20)-AK20</f>
        <v>22</v>
      </c>
      <c r="AK20" s="555">
        <f t="shared" ref="AK20:AK35" si="26">SUMIF($E$4:$AI$4,"LT",E20:AI20)</f>
        <v>0</v>
      </c>
      <c r="AL20" s="555">
        <f t="shared" ref="AL20:AL35" si="27">COUNTIF(E20:AI20,"P")</f>
        <v>4</v>
      </c>
      <c r="AM20" s="555">
        <f t="shared" ref="AM20:AM35" si="28">COUNTIF(E20:AI20,"LT")</f>
        <v>1</v>
      </c>
      <c r="AN20" s="933"/>
      <c r="AO20" s="933"/>
      <c r="AP20" s="933"/>
      <c r="AQ20" s="933"/>
      <c r="AR20" s="933"/>
      <c r="AS20" s="933"/>
      <c r="AT20" s="932"/>
      <c r="AU20" s="933"/>
      <c r="AV20" s="933"/>
      <c r="AW20" s="933">
        <v>4</v>
      </c>
      <c r="AX20" s="933"/>
      <c r="AY20" s="933">
        <v>3</v>
      </c>
      <c r="AZ20" s="933"/>
      <c r="BA20" s="932">
        <v>8</v>
      </c>
      <c r="BB20" s="933">
        <v>3</v>
      </c>
      <c r="BC20" s="933">
        <v>4</v>
      </c>
      <c r="BD20" s="933"/>
      <c r="BE20" s="933"/>
      <c r="BF20" s="933"/>
      <c r="BG20" s="933"/>
      <c r="BH20" s="932">
        <v>8</v>
      </c>
      <c r="BI20" s="933">
        <v>3</v>
      </c>
      <c r="BJ20" s="933"/>
      <c r="BK20" s="933"/>
      <c r="BL20" s="933">
        <v>4</v>
      </c>
      <c r="BM20" s="933">
        <v>4</v>
      </c>
      <c r="BN20" s="933"/>
      <c r="BO20" s="932"/>
      <c r="BP20" s="933"/>
      <c r="BQ20" s="933"/>
      <c r="BR20" s="933"/>
      <c r="BS20" s="528">
        <f t="shared" si="22"/>
        <v>25</v>
      </c>
      <c r="BT20" s="528">
        <f t="shared" si="23"/>
        <v>16</v>
      </c>
      <c r="BU20" s="528">
        <f t="shared" si="24"/>
        <v>0</v>
      </c>
      <c r="BV20" s="786"/>
      <c r="BW20" s="676">
        <f t="shared" ref="BW20:BW23" si="29">COUNTIFS(AN20:BR20,"&gt;="&amp;$BW$3,$AN$4:$BR$4,"&lt;&gt;CN")</f>
        <v>7</v>
      </c>
      <c r="BX20" s="793">
        <f>+AJ20*8+BS20+BT20+AK20*8</f>
        <v>217</v>
      </c>
      <c r="BY20" s="796">
        <f>+BX20/2</f>
        <v>108.5</v>
      </c>
    </row>
    <row r="21" spans="1:80" s="787" customFormat="1" x14ac:dyDescent="0.25">
      <c r="A21" s="263">
        <f>'BANG LUONG 1'!A22</f>
        <v>15</v>
      </c>
      <c r="B21" s="263" t="str">
        <f>'BANG LUONG 1'!B22</f>
        <v>NV15</v>
      </c>
      <c r="C21" s="263" t="str">
        <f>'BANG LUONG 1'!C22</f>
        <v>Hà Hoàng Hùng</v>
      </c>
      <c r="D21" s="263" t="str">
        <f>'BANG LUONG 1'!D22</f>
        <v>Lái xe cơ giới</v>
      </c>
      <c r="E21" s="933">
        <v>1</v>
      </c>
      <c r="F21" s="933">
        <v>1</v>
      </c>
      <c r="G21" s="933">
        <v>1</v>
      </c>
      <c r="H21" s="933">
        <v>1</v>
      </c>
      <c r="I21" s="933">
        <v>1</v>
      </c>
      <c r="J21" s="933">
        <v>1</v>
      </c>
      <c r="K21" s="932"/>
      <c r="L21" s="933" t="s">
        <v>915</v>
      </c>
      <c r="M21" s="933">
        <v>1</v>
      </c>
      <c r="N21" s="933">
        <v>1</v>
      </c>
      <c r="O21" s="933">
        <v>1</v>
      </c>
      <c r="P21" s="933">
        <v>1</v>
      </c>
      <c r="Q21" s="933">
        <v>1</v>
      </c>
      <c r="R21" s="932"/>
      <c r="S21" s="933">
        <v>1</v>
      </c>
      <c r="T21" s="933">
        <v>1</v>
      </c>
      <c r="U21" s="933">
        <v>1</v>
      </c>
      <c r="V21" s="933">
        <v>1</v>
      </c>
      <c r="W21" s="933" t="s">
        <v>506</v>
      </c>
      <c r="X21" s="933" t="s">
        <v>506</v>
      </c>
      <c r="Y21" s="703"/>
      <c r="Z21" s="933">
        <v>1</v>
      </c>
      <c r="AA21" s="933">
        <v>1</v>
      </c>
      <c r="AB21" s="933">
        <v>1</v>
      </c>
      <c r="AC21" s="933">
        <v>1</v>
      </c>
      <c r="AD21" s="933">
        <v>1</v>
      </c>
      <c r="AE21" s="933">
        <v>1</v>
      </c>
      <c r="AF21" s="703"/>
      <c r="AG21" s="933">
        <v>1</v>
      </c>
      <c r="AH21" s="933">
        <v>1</v>
      </c>
      <c r="AI21" s="933">
        <v>1</v>
      </c>
      <c r="AJ21" s="555">
        <f t="shared" si="25"/>
        <v>24</v>
      </c>
      <c r="AK21" s="555">
        <f t="shared" si="26"/>
        <v>0</v>
      </c>
      <c r="AL21" s="555">
        <f t="shared" si="27"/>
        <v>2</v>
      </c>
      <c r="AM21" s="555">
        <f t="shared" si="28"/>
        <v>1</v>
      </c>
      <c r="AN21" s="933"/>
      <c r="AO21" s="933"/>
      <c r="AP21" s="933"/>
      <c r="AQ21" s="933"/>
      <c r="AR21" s="933"/>
      <c r="AS21" s="933"/>
      <c r="AT21" s="932"/>
      <c r="AU21" s="933"/>
      <c r="AV21" s="933"/>
      <c r="AW21" s="933"/>
      <c r="AX21" s="933"/>
      <c r="AY21" s="933"/>
      <c r="AZ21" s="933"/>
      <c r="BA21" s="932"/>
      <c r="BB21" s="933"/>
      <c r="BC21" s="933"/>
      <c r="BD21" s="933"/>
      <c r="BE21" s="933"/>
      <c r="BF21" s="933"/>
      <c r="BG21" s="933"/>
      <c r="BH21" s="932"/>
      <c r="BI21" s="933"/>
      <c r="BJ21" s="933"/>
      <c r="BK21" s="933"/>
      <c r="BL21" s="933">
        <v>2.5</v>
      </c>
      <c r="BM21" s="933"/>
      <c r="BN21" s="933"/>
      <c r="BO21" s="932"/>
      <c r="BP21" s="933"/>
      <c r="BQ21" s="933"/>
      <c r="BR21" s="933">
        <v>3</v>
      </c>
      <c r="BS21" s="528">
        <f t="shared" si="22"/>
        <v>5.5</v>
      </c>
      <c r="BT21" s="528">
        <f t="shared" si="23"/>
        <v>0</v>
      </c>
      <c r="BU21" s="528">
        <f t="shared" si="24"/>
        <v>0</v>
      </c>
      <c r="BV21" s="786"/>
      <c r="BW21" s="676">
        <f t="shared" si="29"/>
        <v>1</v>
      </c>
      <c r="BX21" s="793">
        <f t="shared" ref="BX21:BX50" si="30">+AJ21*8+BS21+BT21+AK21*8</f>
        <v>197.5</v>
      </c>
      <c r="BY21" s="796">
        <f t="shared" ref="BY21:BY38" si="31">+BX21/2</f>
        <v>98.75</v>
      </c>
      <c r="CA21" s="787" t="s">
        <v>919</v>
      </c>
    </row>
    <row r="22" spans="1:80" s="796" customFormat="1" x14ac:dyDescent="0.25">
      <c r="A22" s="263">
        <f>'BANG LUONG 1'!A23</f>
        <v>16</v>
      </c>
      <c r="B22" s="263" t="str">
        <f>'BANG LUONG 1'!B23</f>
        <v>NV16</v>
      </c>
      <c r="C22" s="263" t="str">
        <f>'BANG LUONG 1'!C23</f>
        <v>Châu Thành Nhân</v>
      </c>
      <c r="D22" s="263" t="str">
        <f>'BANG LUONG 1'!D23</f>
        <v>Lái xe cơ giới</v>
      </c>
      <c r="E22" s="933">
        <v>1</v>
      </c>
      <c r="F22" s="933">
        <v>1</v>
      </c>
      <c r="G22" s="933">
        <v>1</v>
      </c>
      <c r="H22" s="933">
        <v>1</v>
      </c>
      <c r="I22" s="933">
        <v>1</v>
      </c>
      <c r="J22" s="933">
        <v>1</v>
      </c>
      <c r="K22" s="932"/>
      <c r="L22" s="933" t="s">
        <v>915</v>
      </c>
      <c r="M22" s="933">
        <v>1</v>
      </c>
      <c r="N22" s="933">
        <v>1</v>
      </c>
      <c r="O22" s="933">
        <v>1</v>
      </c>
      <c r="P22" s="933">
        <v>1</v>
      </c>
      <c r="Q22" s="933">
        <v>1</v>
      </c>
      <c r="R22" s="932"/>
      <c r="S22" s="933">
        <v>1</v>
      </c>
      <c r="T22" s="933">
        <v>1</v>
      </c>
      <c r="U22" s="933">
        <v>1</v>
      </c>
      <c r="V22" s="933">
        <v>1</v>
      </c>
      <c r="W22" s="933">
        <v>1</v>
      </c>
      <c r="X22" s="933">
        <v>1</v>
      </c>
      <c r="Y22" s="932"/>
      <c r="Z22" s="933">
        <v>1</v>
      </c>
      <c r="AA22" s="933">
        <v>1</v>
      </c>
      <c r="AB22" s="933">
        <v>1</v>
      </c>
      <c r="AC22" s="933">
        <v>1</v>
      </c>
      <c r="AD22" s="933">
        <v>1</v>
      </c>
      <c r="AE22" s="933">
        <v>1</v>
      </c>
      <c r="AF22" s="703"/>
      <c r="AG22" s="933">
        <v>1</v>
      </c>
      <c r="AH22" s="933">
        <v>1</v>
      </c>
      <c r="AI22" s="933">
        <v>1</v>
      </c>
      <c r="AJ22" s="555">
        <f t="shared" si="25"/>
        <v>26</v>
      </c>
      <c r="AK22" s="555">
        <f t="shared" si="26"/>
        <v>0</v>
      </c>
      <c r="AL22" s="555">
        <f t="shared" si="27"/>
        <v>0</v>
      </c>
      <c r="AM22" s="555">
        <f t="shared" si="28"/>
        <v>1</v>
      </c>
      <c r="AN22" s="933">
        <v>3</v>
      </c>
      <c r="AO22" s="933">
        <v>3</v>
      </c>
      <c r="AP22" s="933"/>
      <c r="AQ22" s="933"/>
      <c r="AR22" s="933">
        <v>4</v>
      </c>
      <c r="AS22" s="933"/>
      <c r="AT22" s="979">
        <v>8</v>
      </c>
      <c r="AU22" s="933"/>
      <c r="AV22" s="933"/>
      <c r="AW22" s="933">
        <v>1</v>
      </c>
      <c r="AX22" s="933">
        <v>3</v>
      </c>
      <c r="AY22" s="933">
        <v>3</v>
      </c>
      <c r="AZ22" s="933"/>
      <c r="BA22" s="932">
        <v>8</v>
      </c>
      <c r="BB22" s="933">
        <v>4.5</v>
      </c>
      <c r="BC22" s="933">
        <v>4.5</v>
      </c>
      <c r="BD22" s="933">
        <v>4.5</v>
      </c>
      <c r="BE22" s="933">
        <v>1</v>
      </c>
      <c r="BF22" s="933">
        <v>4.5</v>
      </c>
      <c r="BG22" s="933">
        <v>1</v>
      </c>
      <c r="BH22" s="932"/>
      <c r="BI22" s="933">
        <v>5</v>
      </c>
      <c r="BJ22" s="933">
        <v>5</v>
      </c>
      <c r="BK22" s="933">
        <v>5</v>
      </c>
      <c r="BL22" s="933">
        <v>4</v>
      </c>
      <c r="BM22" s="933">
        <v>4.5</v>
      </c>
      <c r="BN22" s="933">
        <v>4.5</v>
      </c>
      <c r="BO22" s="932"/>
      <c r="BP22" s="933">
        <v>4.5</v>
      </c>
      <c r="BQ22" s="933">
        <v>5</v>
      </c>
      <c r="BR22" s="933">
        <v>5.5</v>
      </c>
      <c r="BS22" s="528">
        <f t="shared" si="22"/>
        <v>80</v>
      </c>
      <c r="BT22" s="528">
        <f t="shared" si="23"/>
        <v>16</v>
      </c>
      <c r="BU22" s="528">
        <f t="shared" si="24"/>
        <v>0</v>
      </c>
      <c r="BV22" s="786"/>
      <c r="BW22" s="676">
        <f t="shared" si="29"/>
        <v>18</v>
      </c>
      <c r="BX22" s="793">
        <f t="shared" si="30"/>
        <v>304</v>
      </c>
      <c r="BY22" s="796">
        <f t="shared" si="31"/>
        <v>152</v>
      </c>
    </row>
    <row r="23" spans="1:80" s="787" customFormat="1" x14ac:dyDescent="0.25">
      <c r="A23" s="263">
        <f>'BANG LUONG 1'!A24</f>
        <v>17</v>
      </c>
      <c r="B23" s="263" t="str">
        <f>'BANG LUONG 1'!B24</f>
        <v>NV18</v>
      </c>
      <c r="C23" s="263" t="str">
        <f>'BANG LUONG 1'!C24</f>
        <v>Châu Văn Phước</v>
      </c>
      <c r="D23" s="263" t="str">
        <f>'BANG LUONG 1'!D24</f>
        <v>Lái xe cơ giới</v>
      </c>
      <c r="E23" s="933">
        <v>1</v>
      </c>
      <c r="F23" s="933">
        <v>1</v>
      </c>
      <c r="G23" s="933">
        <v>1</v>
      </c>
      <c r="H23" s="933">
        <v>1</v>
      </c>
      <c r="I23" s="933">
        <v>1</v>
      </c>
      <c r="J23" s="933">
        <v>1</v>
      </c>
      <c r="K23" s="932"/>
      <c r="L23" s="933" t="s">
        <v>915</v>
      </c>
      <c r="M23" s="933">
        <v>1</v>
      </c>
      <c r="N23" s="933">
        <v>1</v>
      </c>
      <c r="O23" s="933">
        <v>1</v>
      </c>
      <c r="P23" s="933">
        <v>1</v>
      </c>
      <c r="Q23" s="933">
        <v>1</v>
      </c>
      <c r="R23" s="932"/>
      <c r="S23" s="933">
        <v>1</v>
      </c>
      <c r="T23" s="933">
        <v>1</v>
      </c>
      <c r="U23" s="933">
        <v>1</v>
      </c>
      <c r="V23" s="933">
        <v>1</v>
      </c>
      <c r="W23" s="933">
        <v>1</v>
      </c>
      <c r="X23" s="933">
        <v>1</v>
      </c>
      <c r="Y23" s="932"/>
      <c r="Z23" s="933">
        <v>1</v>
      </c>
      <c r="AA23" s="933">
        <v>1</v>
      </c>
      <c r="AB23" s="933">
        <v>1</v>
      </c>
      <c r="AC23" s="933">
        <v>1</v>
      </c>
      <c r="AD23" s="933">
        <v>1</v>
      </c>
      <c r="AE23" s="933">
        <v>1</v>
      </c>
      <c r="AF23" s="932"/>
      <c r="AG23" s="933">
        <v>1</v>
      </c>
      <c r="AH23" s="933">
        <v>1</v>
      </c>
      <c r="AI23" s="933">
        <v>1</v>
      </c>
      <c r="AJ23" s="555">
        <f t="shared" si="25"/>
        <v>26</v>
      </c>
      <c r="AK23" s="555">
        <f t="shared" si="26"/>
        <v>0</v>
      </c>
      <c r="AL23" s="555">
        <f t="shared" si="27"/>
        <v>0</v>
      </c>
      <c r="AM23" s="555">
        <f t="shared" si="28"/>
        <v>1</v>
      </c>
      <c r="AN23" s="933"/>
      <c r="AO23" s="933"/>
      <c r="AP23" s="933"/>
      <c r="AQ23" s="933"/>
      <c r="AR23" s="933"/>
      <c r="AS23" s="933"/>
      <c r="AT23" s="932"/>
      <c r="AU23" s="933"/>
      <c r="AV23" s="933">
        <v>3.5</v>
      </c>
      <c r="AW23" s="933">
        <v>4</v>
      </c>
      <c r="AX23" s="933"/>
      <c r="AY23" s="933"/>
      <c r="AZ23" s="933">
        <v>2.5</v>
      </c>
      <c r="BA23" s="932"/>
      <c r="BB23" s="933">
        <v>3.5</v>
      </c>
      <c r="BC23" s="933">
        <v>4.5</v>
      </c>
      <c r="BD23" s="933">
        <v>4.5</v>
      </c>
      <c r="BE23" s="933">
        <v>4.5</v>
      </c>
      <c r="BF23" s="933"/>
      <c r="BG23" s="933">
        <v>4</v>
      </c>
      <c r="BH23" s="932">
        <v>8</v>
      </c>
      <c r="BI23" s="933">
        <v>4</v>
      </c>
      <c r="BJ23" s="933"/>
      <c r="BK23" s="933"/>
      <c r="BL23" s="933"/>
      <c r="BM23" s="933">
        <v>5</v>
      </c>
      <c r="BN23" s="933"/>
      <c r="BO23" s="932">
        <v>8</v>
      </c>
      <c r="BP23" s="933">
        <v>4</v>
      </c>
      <c r="BQ23" s="933">
        <v>1</v>
      </c>
      <c r="BR23" s="933">
        <v>4</v>
      </c>
      <c r="BS23" s="528">
        <f t="shared" si="22"/>
        <v>49</v>
      </c>
      <c r="BT23" s="528">
        <f t="shared" si="23"/>
        <v>16</v>
      </c>
      <c r="BU23" s="528">
        <f t="shared" si="24"/>
        <v>0</v>
      </c>
      <c r="BV23" s="786"/>
      <c r="BW23" s="676">
        <f t="shared" si="29"/>
        <v>11</v>
      </c>
      <c r="BX23" s="793">
        <f t="shared" si="30"/>
        <v>273</v>
      </c>
      <c r="BY23" s="796">
        <f t="shared" si="31"/>
        <v>136.5</v>
      </c>
      <c r="BZ23" s="819"/>
    </row>
    <row r="24" spans="1:80" s="787" customFormat="1" x14ac:dyDescent="0.25">
      <c r="A24" s="263">
        <f>'BANG LUONG 1'!A25</f>
        <v>18</v>
      </c>
      <c r="B24" s="263" t="str">
        <f>'BANG LUONG 1'!B25</f>
        <v>NV19</v>
      </c>
      <c r="C24" s="263" t="str">
        <f>'BANG LUONG 1'!C25</f>
        <v>Thạch Giàu</v>
      </c>
      <c r="D24" s="263" t="str">
        <f>'BANG LUONG 1'!D25</f>
        <v>Lái xe cơ giới</v>
      </c>
      <c r="E24" s="933">
        <v>1</v>
      </c>
      <c r="F24" s="942" t="s">
        <v>506</v>
      </c>
      <c r="G24" s="942" t="s">
        <v>506</v>
      </c>
      <c r="H24" s="942" t="s">
        <v>506</v>
      </c>
      <c r="I24" s="942" t="s">
        <v>506</v>
      </c>
      <c r="J24" s="942" t="s">
        <v>506</v>
      </c>
      <c r="K24" s="932"/>
      <c r="L24" s="933" t="s">
        <v>915</v>
      </c>
      <c r="M24" s="942" t="s">
        <v>506</v>
      </c>
      <c r="N24" s="942" t="s">
        <v>506</v>
      </c>
      <c r="O24" s="942" t="s">
        <v>506</v>
      </c>
      <c r="P24" s="942" t="s">
        <v>506</v>
      </c>
      <c r="Q24" s="942" t="s">
        <v>506</v>
      </c>
      <c r="R24" s="932"/>
      <c r="S24" s="942" t="s">
        <v>506</v>
      </c>
      <c r="T24" s="942" t="s">
        <v>506</v>
      </c>
      <c r="U24" s="942" t="s">
        <v>506</v>
      </c>
      <c r="V24" s="942" t="s">
        <v>506</v>
      </c>
      <c r="W24" s="942" t="s">
        <v>506</v>
      </c>
      <c r="X24" s="942" t="s">
        <v>506</v>
      </c>
      <c r="Y24" s="932"/>
      <c r="Z24" s="933">
        <v>1</v>
      </c>
      <c r="AA24" s="942" t="s">
        <v>506</v>
      </c>
      <c r="AB24" s="942" t="s">
        <v>506</v>
      </c>
      <c r="AC24" s="942" t="s">
        <v>506</v>
      </c>
      <c r="AD24" s="942" t="s">
        <v>506</v>
      </c>
      <c r="AE24" s="942" t="s">
        <v>506</v>
      </c>
      <c r="AF24" s="932"/>
      <c r="AG24" s="933">
        <v>1</v>
      </c>
      <c r="AH24" s="933">
        <v>1</v>
      </c>
      <c r="AI24" s="933">
        <v>1</v>
      </c>
      <c r="AJ24" s="555">
        <f t="shared" si="25"/>
        <v>5</v>
      </c>
      <c r="AK24" s="555">
        <f t="shared" si="26"/>
        <v>0</v>
      </c>
      <c r="AL24" s="555">
        <f t="shared" si="27"/>
        <v>21</v>
      </c>
      <c r="AM24" s="555">
        <f t="shared" si="28"/>
        <v>1</v>
      </c>
      <c r="AN24" s="933"/>
      <c r="AO24" s="933"/>
      <c r="AP24" s="933"/>
      <c r="AQ24" s="933"/>
      <c r="AR24" s="933"/>
      <c r="AS24" s="933"/>
      <c r="AT24" s="979">
        <v>8</v>
      </c>
      <c r="AU24" s="933"/>
      <c r="AV24" s="933"/>
      <c r="AW24" s="933"/>
      <c r="AX24" s="933"/>
      <c r="AY24" s="933"/>
      <c r="AZ24" s="933"/>
      <c r="BA24" s="932"/>
      <c r="BB24" s="933"/>
      <c r="BC24" s="933"/>
      <c r="BD24" s="933"/>
      <c r="BE24" s="933"/>
      <c r="BF24" s="933"/>
      <c r="BG24" s="933"/>
      <c r="BH24" s="932"/>
      <c r="BI24" s="933"/>
      <c r="BJ24" s="933"/>
      <c r="BK24" s="933"/>
      <c r="BL24" s="933"/>
      <c r="BM24" s="933"/>
      <c r="BN24" s="933"/>
      <c r="BO24" s="932"/>
      <c r="BP24" s="933"/>
      <c r="BQ24" s="933">
        <v>2</v>
      </c>
      <c r="BR24" s="933"/>
      <c r="BS24" s="528">
        <f t="shared" ref="BS24:BS37" si="32">SUM(AN24:BR24)-BT24</f>
        <v>2</v>
      </c>
      <c r="BT24" s="528">
        <f t="shared" ref="BT24:BT37" si="33">SUMIF($AN$4:$BR$4,"CN",AN24:BR24)</f>
        <v>8</v>
      </c>
      <c r="BU24" s="528">
        <f t="shared" ref="BU24:BU37" si="34">SUMIF($AN$4:$BR$4,"LT",AN24:BR24)</f>
        <v>0</v>
      </c>
      <c r="BV24" s="786"/>
      <c r="BW24" s="676">
        <f t="shared" ref="BW24:BW37" si="35">COUNTIFS(AN24:BR24,"&gt;="&amp;$BW$3,$AN$4:$BR$4,"&lt;&gt;CN")</f>
        <v>0</v>
      </c>
      <c r="BX24" s="793">
        <f t="shared" si="30"/>
        <v>50</v>
      </c>
      <c r="BY24" s="796">
        <f t="shared" si="31"/>
        <v>25</v>
      </c>
      <c r="BZ24" s="822"/>
      <c r="CA24" s="796"/>
      <c r="CB24" s="796"/>
    </row>
    <row r="25" spans="1:80" s="787" customFormat="1" ht="20.25" customHeight="1" x14ac:dyDescent="0.25">
      <c r="A25" s="804">
        <f>'BANG LUONG 1'!A26</f>
        <v>19</v>
      </c>
      <c r="B25" s="804" t="str">
        <f>'BANG LUONG 1'!B26</f>
        <v>NV20</v>
      </c>
      <c r="C25" s="804" t="str">
        <f>'BANG LUONG 1'!C26</f>
        <v>Trần Thanh Hậu</v>
      </c>
      <c r="D25" s="263" t="str">
        <f>'BANG LUONG 1'!D26</f>
        <v>Lái xe cơ giới</v>
      </c>
      <c r="E25" s="933">
        <v>1</v>
      </c>
      <c r="F25" s="933">
        <v>1</v>
      </c>
      <c r="G25" s="933">
        <v>1</v>
      </c>
      <c r="H25" s="933">
        <v>0</v>
      </c>
      <c r="I25" s="933">
        <v>1</v>
      </c>
      <c r="J25" s="933">
        <v>1</v>
      </c>
      <c r="K25" s="932"/>
      <c r="L25" s="933" t="s">
        <v>915</v>
      </c>
      <c r="M25" s="933">
        <v>1</v>
      </c>
      <c r="N25" s="933">
        <v>1</v>
      </c>
      <c r="O25" s="933">
        <v>1</v>
      </c>
      <c r="P25" s="933">
        <v>1</v>
      </c>
      <c r="Q25" s="933">
        <v>1</v>
      </c>
      <c r="R25" s="932"/>
      <c r="S25" s="933">
        <v>1</v>
      </c>
      <c r="T25" s="933">
        <v>1</v>
      </c>
      <c r="U25" s="933">
        <v>1</v>
      </c>
      <c r="V25" s="933">
        <v>1</v>
      </c>
      <c r="W25" s="933">
        <v>1</v>
      </c>
      <c r="X25" s="933">
        <v>1</v>
      </c>
      <c r="Y25" s="932"/>
      <c r="Z25" s="933">
        <v>1</v>
      </c>
      <c r="AA25" s="933">
        <v>1</v>
      </c>
      <c r="AB25" s="933">
        <v>1</v>
      </c>
      <c r="AC25" s="933">
        <v>1</v>
      </c>
      <c r="AD25" s="933">
        <v>1</v>
      </c>
      <c r="AE25" s="933">
        <v>1</v>
      </c>
      <c r="AF25" s="932"/>
      <c r="AG25" s="933">
        <v>1</v>
      </c>
      <c r="AH25" s="933">
        <v>1</v>
      </c>
      <c r="AI25" s="933">
        <v>1</v>
      </c>
      <c r="AJ25" s="555">
        <f t="shared" si="25"/>
        <v>25</v>
      </c>
      <c r="AK25" s="555">
        <f t="shared" si="26"/>
        <v>0</v>
      </c>
      <c r="AL25" s="555">
        <f t="shared" si="27"/>
        <v>0</v>
      </c>
      <c r="AM25" s="555">
        <f t="shared" si="28"/>
        <v>1</v>
      </c>
      <c r="AN25" s="933">
        <v>4</v>
      </c>
      <c r="AO25" s="933">
        <v>4</v>
      </c>
      <c r="AP25" s="933"/>
      <c r="AQ25" s="933"/>
      <c r="AR25" s="933"/>
      <c r="AS25" s="933"/>
      <c r="AT25" s="932">
        <v>8</v>
      </c>
      <c r="AU25" s="933"/>
      <c r="AV25" s="933">
        <v>3</v>
      </c>
      <c r="AW25" s="933">
        <v>3</v>
      </c>
      <c r="AX25" s="933">
        <v>4</v>
      </c>
      <c r="AY25" s="933"/>
      <c r="AZ25" s="933"/>
      <c r="BA25" s="932">
        <v>8</v>
      </c>
      <c r="BB25" s="933"/>
      <c r="BC25" s="933"/>
      <c r="BD25" s="933"/>
      <c r="BE25" s="933">
        <v>3</v>
      </c>
      <c r="BF25" s="933"/>
      <c r="BG25" s="933"/>
      <c r="BH25" s="932">
        <v>8</v>
      </c>
      <c r="BI25" s="933"/>
      <c r="BJ25" s="933">
        <v>3</v>
      </c>
      <c r="BK25" s="933"/>
      <c r="BL25" s="933"/>
      <c r="BM25" s="933"/>
      <c r="BN25" s="933"/>
      <c r="BO25" s="932"/>
      <c r="BP25" s="933"/>
      <c r="BQ25" s="933">
        <v>3</v>
      </c>
      <c r="BR25" s="933">
        <v>3</v>
      </c>
      <c r="BS25" s="528">
        <f t="shared" si="32"/>
        <v>30</v>
      </c>
      <c r="BT25" s="528">
        <f t="shared" si="33"/>
        <v>24</v>
      </c>
      <c r="BU25" s="528">
        <f t="shared" si="34"/>
        <v>0</v>
      </c>
      <c r="BV25" s="786"/>
      <c r="BW25" s="676">
        <f t="shared" si="35"/>
        <v>9</v>
      </c>
      <c r="BX25" s="793">
        <f t="shared" si="30"/>
        <v>254</v>
      </c>
      <c r="BY25" s="796">
        <f t="shared" si="31"/>
        <v>127</v>
      </c>
      <c r="BZ25" s="822"/>
      <c r="CA25" s="822"/>
      <c r="CB25" s="796"/>
    </row>
    <row r="26" spans="1:80" s="794" customFormat="1" ht="21" customHeight="1" x14ac:dyDescent="0.25">
      <c r="A26" s="804">
        <f>'BANG LUONG 1'!A27</f>
        <v>20</v>
      </c>
      <c r="B26" s="804" t="str">
        <f>'BANG LUONG 1'!B27</f>
        <v>NV21</v>
      </c>
      <c r="C26" s="804" t="str">
        <f>'BANG LUONG 1'!C27</f>
        <v xml:space="preserve">Trần Văn Thứ </v>
      </c>
      <c r="D26" s="263" t="str">
        <f>'BANG LUONG 1'!D27</f>
        <v>Lái xe cơ giới</v>
      </c>
      <c r="E26" s="933">
        <v>1</v>
      </c>
      <c r="F26" s="933">
        <v>1</v>
      </c>
      <c r="G26" s="933">
        <v>1</v>
      </c>
      <c r="H26" s="933">
        <v>1</v>
      </c>
      <c r="I26" s="933">
        <v>1</v>
      </c>
      <c r="J26" s="933">
        <v>1</v>
      </c>
      <c r="K26" s="932"/>
      <c r="L26" s="933" t="s">
        <v>915</v>
      </c>
      <c r="M26" s="933">
        <v>1</v>
      </c>
      <c r="N26" s="933">
        <v>1</v>
      </c>
      <c r="O26" s="933">
        <v>1</v>
      </c>
      <c r="P26" s="933">
        <v>1</v>
      </c>
      <c r="Q26" s="933">
        <v>1</v>
      </c>
      <c r="R26" s="932"/>
      <c r="S26" s="933">
        <v>1</v>
      </c>
      <c r="T26" s="933">
        <v>1</v>
      </c>
      <c r="U26" s="933">
        <v>1</v>
      </c>
      <c r="V26" s="933">
        <v>1</v>
      </c>
      <c r="W26" s="933">
        <v>1</v>
      </c>
      <c r="X26" s="933">
        <v>1</v>
      </c>
      <c r="Y26" s="932"/>
      <c r="Z26" s="933">
        <v>1</v>
      </c>
      <c r="AA26" s="933">
        <v>1</v>
      </c>
      <c r="AB26" s="933">
        <v>1</v>
      </c>
      <c r="AC26" s="933">
        <v>1</v>
      </c>
      <c r="AD26" s="933">
        <v>1</v>
      </c>
      <c r="AE26" s="933">
        <v>1</v>
      </c>
      <c r="AF26" s="932"/>
      <c r="AG26" s="933">
        <v>1</v>
      </c>
      <c r="AH26" s="933">
        <v>1</v>
      </c>
      <c r="AI26" s="933">
        <v>1</v>
      </c>
      <c r="AJ26" s="555">
        <f t="shared" si="25"/>
        <v>26</v>
      </c>
      <c r="AK26" s="555">
        <f t="shared" si="26"/>
        <v>0</v>
      </c>
      <c r="AL26" s="555">
        <f t="shared" si="27"/>
        <v>0</v>
      </c>
      <c r="AM26" s="555">
        <f t="shared" si="28"/>
        <v>1</v>
      </c>
      <c r="AN26" s="933">
        <v>3</v>
      </c>
      <c r="AO26" s="933">
        <v>3</v>
      </c>
      <c r="AP26" s="933"/>
      <c r="AQ26" s="933"/>
      <c r="AR26" s="933">
        <v>3</v>
      </c>
      <c r="AS26" s="933">
        <v>3</v>
      </c>
      <c r="AT26" s="932"/>
      <c r="AU26" s="933"/>
      <c r="AV26" s="933">
        <v>3</v>
      </c>
      <c r="AW26" s="933">
        <v>4.5</v>
      </c>
      <c r="AX26" s="933"/>
      <c r="AY26" s="933">
        <v>3</v>
      </c>
      <c r="AZ26" s="933"/>
      <c r="BA26" s="932">
        <v>8</v>
      </c>
      <c r="BB26" s="933">
        <v>3</v>
      </c>
      <c r="BC26" s="933">
        <v>4</v>
      </c>
      <c r="BD26" s="933"/>
      <c r="BE26" s="933">
        <v>1.5</v>
      </c>
      <c r="BF26" s="933">
        <v>4</v>
      </c>
      <c r="BG26" s="933"/>
      <c r="BH26" s="932">
        <v>8</v>
      </c>
      <c r="BI26" s="933"/>
      <c r="BJ26" s="933">
        <v>4</v>
      </c>
      <c r="BK26" s="933">
        <v>2</v>
      </c>
      <c r="BL26" s="933">
        <v>4</v>
      </c>
      <c r="BM26" s="933"/>
      <c r="BN26" s="933"/>
      <c r="BO26" s="932"/>
      <c r="BP26" s="933"/>
      <c r="BQ26" s="933"/>
      <c r="BR26" s="933"/>
      <c r="BS26" s="528">
        <f t="shared" si="32"/>
        <v>45</v>
      </c>
      <c r="BT26" s="528">
        <f t="shared" si="33"/>
        <v>16</v>
      </c>
      <c r="BU26" s="528">
        <f t="shared" si="34"/>
        <v>0</v>
      </c>
      <c r="BV26" s="786"/>
      <c r="BW26" s="676">
        <f t="shared" si="35"/>
        <v>12</v>
      </c>
      <c r="BX26" s="793">
        <f>+AJ26*8+BS26+BT26+AK26*8</f>
        <v>269</v>
      </c>
      <c r="BY26" s="796">
        <f t="shared" si="31"/>
        <v>134.5</v>
      </c>
      <c r="BZ26" s="787"/>
      <c r="CA26" s="787"/>
      <c r="CB26" s="787"/>
    </row>
    <row r="27" spans="1:80" s="796" customFormat="1" x14ac:dyDescent="0.25">
      <c r="A27" s="263">
        <f>'BANG LUONG 1'!A28</f>
        <v>21</v>
      </c>
      <c r="B27" s="263" t="str">
        <f>'BANG LUONG 1'!B28</f>
        <v>NV22</v>
      </c>
      <c r="C27" s="263" t="str">
        <f>'BANG LUONG 1'!C28</f>
        <v>Lê Tấn Phát</v>
      </c>
      <c r="D27" s="263" t="str">
        <f>'BANG LUONG 1'!D28</f>
        <v>Lái xe cơ giới</v>
      </c>
      <c r="E27" s="933">
        <v>1</v>
      </c>
      <c r="F27" s="933">
        <v>1</v>
      </c>
      <c r="G27" s="933">
        <v>1</v>
      </c>
      <c r="H27" s="933">
        <v>1</v>
      </c>
      <c r="I27" s="933">
        <v>1</v>
      </c>
      <c r="J27" s="933">
        <v>1</v>
      </c>
      <c r="K27" s="932"/>
      <c r="L27" s="933" t="s">
        <v>915</v>
      </c>
      <c r="M27" s="933">
        <v>1</v>
      </c>
      <c r="N27" s="933">
        <v>1</v>
      </c>
      <c r="O27" s="933">
        <v>1</v>
      </c>
      <c r="P27" s="933">
        <v>1</v>
      </c>
      <c r="Q27" s="933">
        <v>1</v>
      </c>
      <c r="R27" s="932"/>
      <c r="S27" s="933">
        <v>1</v>
      </c>
      <c r="T27" s="933">
        <v>1</v>
      </c>
      <c r="U27" s="933">
        <v>1</v>
      </c>
      <c r="V27" s="933">
        <v>1</v>
      </c>
      <c r="W27" s="933">
        <v>1</v>
      </c>
      <c r="X27" s="933">
        <v>1</v>
      </c>
      <c r="Y27" s="932"/>
      <c r="Z27" s="933">
        <v>1</v>
      </c>
      <c r="AA27" s="933">
        <v>1</v>
      </c>
      <c r="AB27" s="933">
        <v>1</v>
      </c>
      <c r="AC27" s="933">
        <v>1</v>
      </c>
      <c r="AD27" s="933">
        <v>1</v>
      </c>
      <c r="AE27" s="933">
        <v>1</v>
      </c>
      <c r="AF27" s="932"/>
      <c r="AG27" s="933">
        <v>1</v>
      </c>
      <c r="AH27" s="933">
        <v>1</v>
      </c>
      <c r="AI27" s="933">
        <v>1</v>
      </c>
      <c r="AJ27" s="555">
        <f t="shared" si="25"/>
        <v>26</v>
      </c>
      <c r="AK27" s="555">
        <f t="shared" si="26"/>
        <v>0</v>
      </c>
      <c r="AL27" s="555">
        <f t="shared" si="27"/>
        <v>0</v>
      </c>
      <c r="AM27" s="555">
        <f t="shared" si="28"/>
        <v>1</v>
      </c>
      <c r="AN27" s="933"/>
      <c r="AO27" s="933"/>
      <c r="AP27" s="933"/>
      <c r="AQ27" s="933"/>
      <c r="AR27" s="933"/>
      <c r="AS27" s="933"/>
      <c r="AT27" s="932"/>
      <c r="AU27" s="933"/>
      <c r="AV27" s="933">
        <v>3.5</v>
      </c>
      <c r="AW27" s="933">
        <v>3.5</v>
      </c>
      <c r="AX27" s="933"/>
      <c r="AY27" s="933">
        <v>3.5</v>
      </c>
      <c r="AZ27" s="933">
        <v>2.5</v>
      </c>
      <c r="BA27" s="932">
        <v>8</v>
      </c>
      <c r="BB27" s="933">
        <v>1</v>
      </c>
      <c r="BC27" s="933">
        <v>1</v>
      </c>
      <c r="BD27" s="933">
        <v>1</v>
      </c>
      <c r="BE27" s="933">
        <v>1</v>
      </c>
      <c r="BF27" s="933">
        <v>1</v>
      </c>
      <c r="BG27" s="933">
        <v>1</v>
      </c>
      <c r="BH27" s="932">
        <v>8</v>
      </c>
      <c r="BI27" s="933">
        <v>1</v>
      </c>
      <c r="BJ27" s="933">
        <v>1</v>
      </c>
      <c r="BK27" s="933">
        <v>1</v>
      </c>
      <c r="BL27" s="933"/>
      <c r="BM27" s="933">
        <v>1</v>
      </c>
      <c r="BN27" s="933">
        <v>1</v>
      </c>
      <c r="BO27" s="932"/>
      <c r="BP27" s="933">
        <v>3</v>
      </c>
      <c r="BQ27" s="933">
        <v>5.5</v>
      </c>
      <c r="BR27" s="933">
        <v>1</v>
      </c>
      <c r="BS27" s="528">
        <f t="shared" si="32"/>
        <v>33.5</v>
      </c>
      <c r="BT27" s="528">
        <f t="shared" si="33"/>
        <v>16</v>
      </c>
      <c r="BU27" s="528">
        <f t="shared" si="34"/>
        <v>0</v>
      </c>
      <c r="BV27" s="786"/>
      <c r="BW27" s="676">
        <f t="shared" si="35"/>
        <v>5</v>
      </c>
      <c r="BX27" s="793">
        <f>+AJ27*8+BS27+BT27+AK27*8</f>
        <v>257.5</v>
      </c>
      <c r="BY27" s="796">
        <f t="shared" si="31"/>
        <v>128.75</v>
      </c>
      <c r="BZ27" s="819"/>
    </row>
    <row r="28" spans="1:80" s="794" customFormat="1" ht="21" customHeight="1" x14ac:dyDescent="0.25">
      <c r="A28" s="803">
        <f>'BANG LUONG 1'!A29</f>
        <v>22</v>
      </c>
      <c r="B28" s="803" t="str">
        <f>'BANG LUONG 1'!B29</f>
        <v>NV23</v>
      </c>
      <c r="C28" s="803" t="str">
        <f>'BANG LUONG 1'!C29</f>
        <v>Quách Văn Chánh</v>
      </c>
      <c r="D28" s="263" t="str">
        <f>'BANG LUONG 1'!D29</f>
        <v xml:space="preserve">Công nhân </v>
      </c>
      <c r="E28" s="933">
        <v>1</v>
      </c>
      <c r="F28" s="933">
        <v>1</v>
      </c>
      <c r="G28" s="933">
        <v>1</v>
      </c>
      <c r="H28" s="933">
        <v>1</v>
      </c>
      <c r="I28" s="933">
        <v>1</v>
      </c>
      <c r="J28" s="933">
        <v>1</v>
      </c>
      <c r="K28" s="932"/>
      <c r="L28" s="933" t="s">
        <v>915</v>
      </c>
      <c r="M28" s="933">
        <v>1</v>
      </c>
      <c r="N28" s="933">
        <v>1</v>
      </c>
      <c r="O28" s="933">
        <v>1</v>
      </c>
      <c r="P28" s="933">
        <v>1</v>
      </c>
      <c r="Q28" s="933">
        <v>1</v>
      </c>
      <c r="R28" s="932"/>
      <c r="S28" s="933">
        <v>1</v>
      </c>
      <c r="T28" s="933">
        <v>1</v>
      </c>
      <c r="U28" s="933">
        <v>1</v>
      </c>
      <c r="V28" s="933">
        <v>1</v>
      </c>
      <c r="W28" s="933">
        <v>1</v>
      </c>
      <c r="X28" s="933">
        <v>1</v>
      </c>
      <c r="Y28" s="932"/>
      <c r="Z28" s="933">
        <v>1</v>
      </c>
      <c r="AA28" s="933">
        <v>1</v>
      </c>
      <c r="AB28" s="933">
        <v>1</v>
      </c>
      <c r="AC28" s="933">
        <v>1</v>
      </c>
      <c r="AD28" s="933">
        <v>1</v>
      </c>
      <c r="AE28" s="933">
        <v>1</v>
      </c>
      <c r="AF28" s="932"/>
      <c r="AG28" s="933">
        <v>1</v>
      </c>
      <c r="AH28" s="933">
        <v>1</v>
      </c>
      <c r="AI28" s="933">
        <v>1</v>
      </c>
      <c r="AJ28" s="555">
        <f t="shared" si="25"/>
        <v>26</v>
      </c>
      <c r="AK28" s="555">
        <f>SUMIF($E$4:$AI$4,"LT",E28:AI28)</f>
        <v>0</v>
      </c>
      <c r="AL28" s="555">
        <f t="shared" si="27"/>
        <v>0</v>
      </c>
      <c r="AM28" s="555">
        <f t="shared" si="28"/>
        <v>1</v>
      </c>
      <c r="AN28" s="933">
        <v>4</v>
      </c>
      <c r="AO28" s="933">
        <v>1.5</v>
      </c>
      <c r="AP28" s="933">
        <v>1.5</v>
      </c>
      <c r="AQ28" s="933">
        <v>4</v>
      </c>
      <c r="AR28" s="933">
        <v>1.5</v>
      </c>
      <c r="AS28" s="933">
        <v>3</v>
      </c>
      <c r="AT28" s="932">
        <v>8</v>
      </c>
      <c r="AU28" s="933"/>
      <c r="AV28" s="933">
        <v>1.5</v>
      </c>
      <c r="AW28" s="933">
        <v>1.5</v>
      </c>
      <c r="AX28" s="933">
        <v>4</v>
      </c>
      <c r="AY28" s="933"/>
      <c r="AZ28" s="933">
        <v>1</v>
      </c>
      <c r="BA28" s="932">
        <v>8</v>
      </c>
      <c r="BB28" s="933">
        <v>2</v>
      </c>
      <c r="BC28" s="933">
        <v>4</v>
      </c>
      <c r="BD28" s="933">
        <v>4</v>
      </c>
      <c r="BE28" s="933">
        <v>3.5</v>
      </c>
      <c r="BF28" s="933">
        <v>5</v>
      </c>
      <c r="BG28" s="933"/>
      <c r="BH28" s="932">
        <v>8</v>
      </c>
      <c r="BI28" s="933">
        <v>2.5</v>
      </c>
      <c r="BJ28" s="933"/>
      <c r="BK28" s="933"/>
      <c r="BL28" s="933">
        <v>4</v>
      </c>
      <c r="BM28" s="933">
        <v>4</v>
      </c>
      <c r="BN28" s="933">
        <v>4</v>
      </c>
      <c r="BO28" s="932">
        <v>8</v>
      </c>
      <c r="BP28" s="933">
        <v>4</v>
      </c>
      <c r="BQ28" s="933">
        <v>4.5</v>
      </c>
      <c r="BR28" s="933">
        <v>4.5</v>
      </c>
      <c r="BS28" s="528">
        <f t="shared" si="32"/>
        <v>69.5</v>
      </c>
      <c r="BT28" s="528">
        <f t="shared" si="33"/>
        <v>32</v>
      </c>
      <c r="BU28" s="528">
        <f t="shared" si="34"/>
        <v>0</v>
      </c>
      <c r="BV28" s="786"/>
      <c r="BW28" s="676">
        <f t="shared" si="35"/>
        <v>14</v>
      </c>
      <c r="BX28" s="793">
        <f t="shared" si="30"/>
        <v>309.5</v>
      </c>
      <c r="BY28" s="796">
        <f t="shared" si="31"/>
        <v>154.75</v>
      </c>
      <c r="BZ28" s="819"/>
    </row>
    <row r="29" spans="1:80" s="794" customFormat="1" ht="24" x14ac:dyDescent="0.25">
      <c r="A29" s="263">
        <f>'BANG LUONG 1'!A30</f>
        <v>23</v>
      </c>
      <c r="B29" s="263" t="str">
        <f>'BANG LUONG 1'!B30</f>
        <v>NV24</v>
      </c>
      <c r="C29" s="263" t="str">
        <f>'BANG LUONG 1'!C30</f>
        <v>Trần văn Nguyện</v>
      </c>
      <c r="D29" s="263" t="str">
        <f>'BANG LUONG 1'!D30</f>
        <v>Công nhân  (TX )</v>
      </c>
      <c r="E29" s="942" t="s">
        <v>506</v>
      </c>
      <c r="F29" s="942" t="s">
        <v>506</v>
      </c>
      <c r="G29" s="942" t="s">
        <v>506</v>
      </c>
      <c r="H29" s="942" t="s">
        <v>506</v>
      </c>
      <c r="I29" s="942" t="s">
        <v>506</v>
      </c>
      <c r="J29" s="942" t="s">
        <v>506</v>
      </c>
      <c r="K29" s="932"/>
      <c r="L29" s="933" t="s">
        <v>915</v>
      </c>
      <c r="M29" s="942" t="s">
        <v>506</v>
      </c>
      <c r="N29" s="942" t="s">
        <v>506</v>
      </c>
      <c r="O29" s="942" t="s">
        <v>506</v>
      </c>
      <c r="P29" s="942" t="s">
        <v>506</v>
      </c>
      <c r="Q29" s="942" t="s">
        <v>506</v>
      </c>
      <c r="R29" s="932"/>
      <c r="S29" s="942" t="s">
        <v>506</v>
      </c>
      <c r="T29" s="942" t="s">
        <v>506</v>
      </c>
      <c r="U29" s="942" t="s">
        <v>506</v>
      </c>
      <c r="V29" s="942" t="s">
        <v>506</v>
      </c>
      <c r="W29" s="942" t="s">
        <v>506</v>
      </c>
      <c r="X29" s="942" t="s">
        <v>506</v>
      </c>
      <c r="Y29" s="932"/>
      <c r="Z29" s="942" t="s">
        <v>506</v>
      </c>
      <c r="AA29" s="942" t="s">
        <v>506</v>
      </c>
      <c r="AB29" s="942" t="s">
        <v>506</v>
      </c>
      <c r="AC29" s="942" t="s">
        <v>506</v>
      </c>
      <c r="AD29" s="942" t="s">
        <v>506</v>
      </c>
      <c r="AE29" s="942" t="s">
        <v>506</v>
      </c>
      <c r="AF29" s="932"/>
      <c r="AG29" s="942" t="s">
        <v>506</v>
      </c>
      <c r="AH29" s="942" t="s">
        <v>506</v>
      </c>
      <c r="AI29" s="942" t="s">
        <v>506</v>
      </c>
      <c r="AJ29" s="555">
        <f t="shared" si="25"/>
        <v>0</v>
      </c>
      <c r="AK29" s="555">
        <f t="shared" si="26"/>
        <v>0</v>
      </c>
      <c r="AL29" s="555">
        <f t="shared" si="27"/>
        <v>26</v>
      </c>
      <c r="AM29" s="555">
        <f t="shared" si="28"/>
        <v>1</v>
      </c>
      <c r="AN29" s="933"/>
      <c r="AO29" s="933"/>
      <c r="AP29" s="933"/>
      <c r="AQ29" s="933"/>
      <c r="AR29" s="933"/>
      <c r="AS29" s="933"/>
      <c r="AT29" s="979">
        <v>8</v>
      </c>
      <c r="AU29" s="933"/>
      <c r="AV29" s="933"/>
      <c r="AW29" s="933"/>
      <c r="AX29" s="933"/>
      <c r="AY29" s="933"/>
      <c r="AZ29" s="933"/>
      <c r="BA29" s="932"/>
      <c r="BB29" s="933"/>
      <c r="BC29" s="933"/>
      <c r="BD29" s="933"/>
      <c r="BE29" s="933"/>
      <c r="BF29" s="933"/>
      <c r="BG29" s="933"/>
      <c r="BH29" s="932"/>
      <c r="BI29" s="933"/>
      <c r="BJ29" s="933"/>
      <c r="BK29" s="933"/>
      <c r="BL29" s="933"/>
      <c r="BM29" s="933"/>
      <c r="BN29" s="933"/>
      <c r="BO29" s="932"/>
      <c r="BP29" s="933"/>
      <c r="BQ29" s="933"/>
      <c r="BR29" s="933"/>
      <c r="BS29" s="528">
        <f t="shared" si="32"/>
        <v>0</v>
      </c>
      <c r="BT29" s="528">
        <f t="shared" si="33"/>
        <v>8</v>
      </c>
      <c r="BU29" s="528">
        <f t="shared" si="34"/>
        <v>0</v>
      </c>
      <c r="BV29" s="786"/>
      <c r="BW29" s="676">
        <f t="shared" si="35"/>
        <v>0</v>
      </c>
      <c r="BX29" s="793">
        <f t="shared" si="30"/>
        <v>8</v>
      </c>
      <c r="BY29" s="796">
        <f t="shared" si="31"/>
        <v>4</v>
      </c>
      <c r="BZ29" s="819"/>
    </row>
    <row r="30" spans="1:80" s="794" customFormat="1" x14ac:dyDescent="0.25">
      <c r="A30" s="263">
        <f>'BANG LUONG 1'!A31</f>
        <v>24</v>
      </c>
      <c r="B30" s="263" t="str">
        <f>'BANG LUONG 1'!B31</f>
        <v>NV25</v>
      </c>
      <c r="C30" s="263" t="str">
        <f>'BANG LUONG 1'!C31</f>
        <v>Châu Văn Tâm</v>
      </c>
      <c r="D30" s="263" t="str">
        <f>'BANG LUONG 1'!D31</f>
        <v>Lái xe cơ giới</v>
      </c>
      <c r="E30" s="933">
        <v>1</v>
      </c>
      <c r="F30" s="933">
        <v>1</v>
      </c>
      <c r="G30" s="933">
        <v>1</v>
      </c>
      <c r="H30" s="933">
        <v>1</v>
      </c>
      <c r="I30" s="933">
        <v>1</v>
      </c>
      <c r="J30" s="933">
        <v>1</v>
      </c>
      <c r="K30" s="932"/>
      <c r="L30" s="933" t="s">
        <v>915</v>
      </c>
      <c r="M30" s="933">
        <v>1</v>
      </c>
      <c r="N30" s="933">
        <v>1</v>
      </c>
      <c r="O30" s="933">
        <v>1</v>
      </c>
      <c r="P30" s="933">
        <v>1</v>
      </c>
      <c r="Q30" s="933">
        <v>1</v>
      </c>
      <c r="R30" s="932"/>
      <c r="S30" s="933">
        <v>1</v>
      </c>
      <c r="T30" s="933">
        <v>1</v>
      </c>
      <c r="U30" s="933">
        <v>1</v>
      </c>
      <c r="V30" s="933">
        <v>1</v>
      </c>
      <c r="W30" s="933">
        <v>1</v>
      </c>
      <c r="X30" s="933">
        <v>1</v>
      </c>
      <c r="Y30" s="932"/>
      <c r="Z30" s="933">
        <v>1</v>
      </c>
      <c r="AA30" s="933">
        <v>1</v>
      </c>
      <c r="AB30" s="933">
        <v>1</v>
      </c>
      <c r="AC30" s="933">
        <v>1</v>
      </c>
      <c r="AD30" s="933">
        <v>1</v>
      </c>
      <c r="AE30" s="933">
        <v>1</v>
      </c>
      <c r="AF30" s="932"/>
      <c r="AG30" s="933">
        <v>1</v>
      </c>
      <c r="AH30" s="933">
        <v>1</v>
      </c>
      <c r="AI30" s="933">
        <v>1</v>
      </c>
      <c r="AJ30" s="555">
        <f t="shared" si="25"/>
        <v>26</v>
      </c>
      <c r="AK30" s="555">
        <f t="shared" si="26"/>
        <v>0</v>
      </c>
      <c r="AL30" s="555">
        <f t="shared" si="27"/>
        <v>0</v>
      </c>
      <c r="AM30" s="555">
        <f t="shared" si="28"/>
        <v>1</v>
      </c>
      <c r="AN30" s="933">
        <v>3</v>
      </c>
      <c r="AO30" s="933">
        <v>3</v>
      </c>
      <c r="AP30" s="933"/>
      <c r="AQ30" s="933"/>
      <c r="AR30" s="933">
        <v>4</v>
      </c>
      <c r="AS30" s="933"/>
      <c r="AT30" s="932"/>
      <c r="AU30" s="933"/>
      <c r="AV30" s="933"/>
      <c r="AW30" s="933">
        <v>4</v>
      </c>
      <c r="AX30" s="933">
        <v>3</v>
      </c>
      <c r="AY30" s="933"/>
      <c r="AZ30" s="933"/>
      <c r="BA30" s="932">
        <v>8</v>
      </c>
      <c r="BB30" s="933">
        <v>4.5</v>
      </c>
      <c r="BC30" s="933">
        <v>4.5</v>
      </c>
      <c r="BD30" s="933">
        <v>4.5</v>
      </c>
      <c r="BE30" s="933">
        <v>4.5</v>
      </c>
      <c r="BF30" s="933">
        <v>4.5</v>
      </c>
      <c r="BG30" s="933">
        <v>4.5</v>
      </c>
      <c r="BH30" s="932"/>
      <c r="BI30" s="933">
        <v>1</v>
      </c>
      <c r="BJ30" s="933">
        <v>4.5</v>
      </c>
      <c r="BK30" s="933">
        <v>5</v>
      </c>
      <c r="BL30" s="933">
        <v>4</v>
      </c>
      <c r="BM30" s="933">
        <v>4.5</v>
      </c>
      <c r="BN30" s="933">
        <v>1</v>
      </c>
      <c r="BO30" s="932">
        <v>8</v>
      </c>
      <c r="BP30" s="933">
        <v>4.5</v>
      </c>
      <c r="BQ30" s="933">
        <v>5</v>
      </c>
      <c r="BR30" s="933">
        <v>4.5</v>
      </c>
      <c r="BS30" s="528">
        <f t="shared" si="32"/>
        <v>78</v>
      </c>
      <c r="BT30" s="528">
        <f t="shared" si="33"/>
        <v>16</v>
      </c>
      <c r="BU30" s="528">
        <f t="shared" si="34"/>
        <v>0</v>
      </c>
      <c r="BV30" s="786"/>
      <c r="BW30" s="676">
        <f t="shared" si="35"/>
        <v>18</v>
      </c>
      <c r="BX30" s="793">
        <f t="shared" si="30"/>
        <v>302</v>
      </c>
      <c r="BY30" s="796">
        <f t="shared" si="31"/>
        <v>151</v>
      </c>
      <c r="BZ30" s="907"/>
    </row>
    <row r="31" spans="1:80" s="794" customFormat="1" x14ac:dyDescent="0.25">
      <c r="A31" s="263">
        <f>'BANG LUONG 1'!A32</f>
        <v>25</v>
      </c>
      <c r="B31" s="263" t="str">
        <f>'BANG LUONG 1'!B32</f>
        <v>NV26</v>
      </c>
      <c r="C31" s="263" t="str">
        <f>'BANG LUONG 1'!C32</f>
        <v>Trần Ngọc Sơn</v>
      </c>
      <c r="D31" s="263" t="str">
        <f>'BANG LUONG 1'!D32</f>
        <v>Lái xe cơ giới</v>
      </c>
      <c r="E31" s="933">
        <v>1</v>
      </c>
      <c r="F31" s="933">
        <v>1</v>
      </c>
      <c r="G31" s="933">
        <v>1</v>
      </c>
      <c r="H31" s="933">
        <v>1</v>
      </c>
      <c r="I31" s="933">
        <v>1</v>
      </c>
      <c r="J31" s="933">
        <v>1</v>
      </c>
      <c r="K31" s="932"/>
      <c r="L31" s="933" t="s">
        <v>915</v>
      </c>
      <c r="M31" s="933">
        <v>1</v>
      </c>
      <c r="N31" s="933">
        <v>1</v>
      </c>
      <c r="O31" s="933">
        <v>1</v>
      </c>
      <c r="P31" s="933">
        <v>1</v>
      </c>
      <c r="Q31" s="933">
        <v>1</v>
      </c>
      <c r="R31" s="932"/>
      <c r="S31" s="933">
        <v>1</v>
      </c>
      <c r="T31" s="933">
        <v>1</v>
      </c>
      <c r="U31" s="933">
        <v>1</v>
      </c>
      <c r="V31" s="933">
        <v>1</v>
      </c>
      <c r="W31" s="933">
        <v>1</v>
      </c>
      <c r="X31" s="933">
        <v>1</v>
      </c>
      <c r="Y31" s="932"/>
      <c r="Z31" s="933">
        <v>1</v>
      </c>
      <c r="AA31" s="933">
        <v>1</v>
      </c>
      <c r="AB31" s="933">
        <v>1</v>
      </c>
      <c r="AC31" s="933">
        <v>1</v>
      </c>
      <c r="AD31" s="933">
        <v>1</v>
      </c>
      <c r="AE31" s="933">
        <v>1</v>
      </c>
      <c r="AF31" s="932"/>
      <c r="AG31" s="933">
        <v>1</v>
      </c>
      <c r="AH31" s="933">
        <v>1</v>
      </c>
      <c r="AI31" s="933">
        <v>1</v>
      </c>
      <c r="AJ31" s="555">
        <f t="shared" si="25"/>
        <v>26</v>
      </c>
      <c r="AK31" s="555">
        <f t="shared" si="26"/>
        <v>0</v>
      </c>
      <c r="AL31" s="555">
        <f t="shared" si="27"/>
        <v>0</v>
      </c>
      <c r="AM31" s="555">
        <f t="shared" si="28"/>
        <v>1</v>
      </c>
      <c r="AN31" s="933"/>
      <c r="AO31" s="933"/>
      <c r="AP31" s="933"/>
      <c r="AQ31" s="933"/>
      <c r="AR31" s="933"/>
      <c r="AS31" s="933"/>
      <c r="AT31" s="932"/>
      <c r="AU31" s="933"/>
      <c r="AV31" s="933"/>
      <c r="AW31" s="933"/>
      <c r="AX31" s="933"/>
      <c r="AY31" s="933"/>
      <c r="AZ31" s="933"/>
      <c r="BA31" s="932">
        <v>8</v>
      </c>
      <c r="BB31" s="933">
        <v>1</v>
      </c>
      <c r="BC31" s="933"/>
      <c r="BD31" s="933">
        <v>1</v>
      </c>
      <c r="BE31" s="933">
        <v>1</v>
      </c>
      <c r="BF31" s="933">
        <v>1</v>
      </c>
      <c r="BG31" s="933">
        <v>1</v>
      </c>
      <c r="BH31" s="932">
        <v>8</v>
      </c>
      <c r="BI31" s="933">
        <v>1</v>
      </c>
      <c r="BJ31" s="933">
        <v>4.5</v>
      </c>
      <c r="BK31" s="933">
        <v>1</v>
      </c>
      <c r="BL31" s="933">
        <v>4</v>
      </c>
      <c r="BM31" s="933">
        <v>1</v>
      </c>
      <c r="BN31" s="933">
        <v>1</v>
      </c>
      <c r="BO31" s="932">
        <v>8</v>
      </c>
      <c r="BP31" s="933">
        <v>4.5</v>
      </c>
      <c r="BQ31" s="933">
        <v>4.5</v>
      </c>
      <c r="BR31" s="933">
        <v>4</v>
      </c>
      <c r="BS31" s="528">
        <f t="shared" si="32"/>
        <v>30.5</v>
      </c>
      <c r="BT31" s="528">
        <f t="shared" si="33"/>
        <v>24</v>
      </c>
      <c r="BU31" s="528">
        <f t="shared" si="34"/>
        <v>0</v>
      </c>
      <c r="BV31" s="786"/>
      <c r="BW31" s="676">
        <f t="shared" si="35"/>
        <v>5</v>
      </c>
      <c r="BX31" s="793">
        <f t="shared" si="30"/>
        <v>262.5</v>
      </c>
      <c r="BY31" s="796">
        <f t="shared" si="31"/>
        <v>131.25</v>
      </c>
      <c r="BZ31" s="822"/>
      <c r="CA31" s="796"/>
      <c r="CB31" s="796"/>
    </row>
    <row r="32" spans="1:80" s="794" customFormat="1" x14ac:dyDescent="0.25">
      <c r="A32" s="263">
        <f>'BANG LUONG 1'!A33</f>
        <v>26</v>
      </c>
      <c r="B32" s="263" t="str">
        <f>'BANG LUONG 1'!B33</f>
        <v>NV27</v>
      </c>
      <c r="C32" s="263" t="str">
        <f>'BANG LUONG 1'!C33</f>
        <v>Nguyễn Văn Tuấn</v>
      </c>
      <c r="D32" s="263" t="str">
        <f>'BANG LUONG 1'!D33</f>
        <v>Lái xe cơ giới</v>
      </c>
      <c r="E32" s="933">
        <v>1</v>
      </c>
      <c r="F32" s="933">
        <v>1</v>
      </c>
      <c r="G32" s="933">
        <v>1</v>
      </c>
      <c r="H32" s="933">
        <v>1</v>
      </c>
      <c r="I32" s="933">
        <v>1</v>
      </c>
      <c r="J32" s="933">
        <v>1</v>
      </c>
      <c r="K32" s="932"/>
      <c r="L32" s="933" t="s">
        <v>915</v>
      </c>
      <c r="M32" s="933">
        <v>1</v>
      </c>
      <c r="N32" s="933">
        <v>1</v>
      </c>
      <c r="O32" s="933">
        <v>1</v>
      </c>
      <c r="P32" s="933">
        <v>1</v>
      </c>
      <c r="Q32" s="933">
        <v>1</v>
      </c>
      <c r="R32" s="932"/>
      <c r="S32" s="933">
        <v>1</v>
      </c>
      <c r="T32" s="933">
        <v>1</v>
      </c>
      <c r="U32" s="933">
        <v>1</v>
      </c>
      <c r="V32" s="933">
        <v>1</v>
      </c>
      <c r="W32" s="933">
        <v>1</v>
      </c>
      <c r="X32" s="933">
        <v>1</v>
      </c>
      <c r="Y32" s="932"/>
      <c r="Z32" s="933">
        <v>1</v>
      </c>
      <c r="AA32" s="933">
        <v>1</v>
      </c>
      <c r="AB32" s="933">
        <v>1</v>
      </c>
      <c r="AC32" s="933">
        <v>1</v>
      </c>
      <c r="AD32" s="933">
        <v>1</v>
      </c>
      <c r="AE32" s="933" t="s">
        <v>506</v>
      </c>
      <c r="AF32" s="932"/>
      <c r="AG32" s="933" t="s">
        <v>506</v>
      </c>
      <c r="AH32" s="933" t="s">
        <v>506</v>
      </c>
      <c r="AI32" s="933" t="s">
        <v>506</v>
      </c>
      <c r="AJ32" s="555">
        <f t="shared" si="25"/>
        <v>22</v>
      </c>
      <c r="AK32" s="555">
        <f t="shared" si="26"/>
        <v>0</v>
      </c>
      <c r="AL32" s="555">
        <f t="shared" si="27"/>
        <v>4</v>
      </c>
      <c r="AM32" s="555">
        <f t="shared" si="28"/>
        <v>1</v>
      </c>
      <c r="AN32" s="933">
        <v>3</v>
      </c>
      <c r="AO32" s="933"/>
      <c r="AP32" s="933"/>
      <c r="AQ32" s="933"/>
      <c r="AR32" s="933"/>
      <c r="AS32" s="933">
        <v>3.5</v>
      </c>
      <c r="AT32" s="942">
        <v>16</v>
      </c>
      <c r="AU32" s="933"/>
      <c r="AV32" s="933">
        <v>3</v>
      </c>
      <c r="AW32" s="933">
        <v>4</v>
      </c>
      <c r="AX32" s="933"/>
      <c r="AY32" s="933">
        <v>3</v>
      </c>
      <c r="AZ32" s="933"/>
      <c r="BA32" s="932"/>
      <c r="BB32" s="933"/>
      <c r="BC32" s="933"/>
      <c r="BD32" s="933">
        <v>3</v>
      </c>
      <c r="BE32" s="933">
        <v>3.5</v>
      </c>
      <c r="BF32" s="933">
        <v>4.5</v>
      </c>
      <c r="BG32" s="933">
        <v>3.5</v>
      </c>
      <c r="BH32" s="932">
        <v>8</v>
      </c>
      <c r="BI32" s="933">
        <v>6.15</v>
      </c>
      <c r="BJ32" s="933">
        <v>3.5</v>
      </c>
      <c r="BK32" s="933"/>
      <c r="BL32" s="933"/>
      <c r="BM32" s="933"/>
      <c r="BN32" s="933"/>
      <c r="BO32" s="932"/>
      <c r="BP32" s="933"/>
      <c r="BQ32" s="933"/>
      <c r="BR32" s="933"/>
      <c r="BS32" s="528">
        <f t="shared" si="32"/>
        <v>40.650000000000006</v>
      </c>
      <c r="BT32" s="528">
        <f t="shared" si="33"/>
        <v>24</v>
      </c>
      <c r="BU32" s="528">
        <f t="shared" si="34"/>
        <v>0</v>
      </c>
      <c r="BV32" s="786"/>
      <c r="BW32" s="676">
        <f t="shared" si="35"/>
        <v>11</v>
      </c>
      <c r="BX32" s="793">
        <f t="shared" si="30"/>
        <v>240.65</v>
      </c>
      <c r="BY32" s="796">
        <f t="shared" si="31"/>
        <v>120.325</v>
      </c>
    </row>
    <row r="33" spans="1:80" s="794" customFormat="1" x14ac:dyDescent="0.25">
      <c r="A33" s="263">
        <f>'BANG LUONG 1'!A34</f>
        <v>27</v>
      </c>
      <c r="B33" s="263" t="str">
        <f>'BANG LUONG 1'!B34</f>
        <v>NV28</v>
      </c>
      <c r="C33" s="263" t="str">
        <f>'BANG LUONG 1'!C34</f>
        <v>Hà Thanh Truyền</v>
      </c>
      <c r="D33" s="263" t="str">
        <f>'BANG LUONG 1'!D34</f>
        <v>Lái xe cơ giới</v>
      </c>
      <c r="E33" s="933">
        <v>1</v>
      </c>
      <c r="F33" s="933">
        <v>1</v>
      </c>
      <c r="G33" s="933">
        <v>1</v>
      </c>
      <c r="H33" s="933">
        <v>1</v>
      </c>
      <c r="I33" s="933">
        <v>0</v>
      </c>
      <c r="J33" s="933">
        <v>0</v>
      </c>
      <c r="K33" s="932"/>
      <c r="L33" s="933" t="s">
        <v>915</v>
      </c>
      <c r="M33" s="933">
        <v>0</v>
      </c>
      <c r="N33" s="933">
        <v>1</v>
      </c>
      <c r="O33" s="933">
        <v>1</v>
      </c>
      <c r="P33" s="933">
        <v>1</v>
      </c>
      <c r="Q33" s="933">
        <v>1</v>
      </c>
      <c r="R33" s="932"/>
      <c r="S33" s="933">
        <v>1</v>
      </c>
      <c r="T33" s="933">
        <v>1</v>
      </c>
      <c r="U33" s="933">
        <v>1</v>
      </c>
      <c r="V33" s="933">
        <v>1</v>
      </c>
      <c r="W33" s="933">
        <v>1</v>
      </c>
      <c r="X33" s="933">
        <v>1</v>
      </c>
      <c r="Y33" s="932"/>
      <c r="Z33" s="933">
        <v>1</v>
      </c>
      <c r="AA33" s="933">
        <v>1</v>
      </c>
      <c r="AB33" s="933">
        <v>1</v>
      </c>
      <c r="AC33" s="933">
        <v>1</v>
      </c>
      <c r="AD33" s="933">
        <v>1</v>
      </c>
      <c r="AE33" s="933">
        <v>1</v>
      </c>
      <c r="AF33" s="932"/>
      <c r="AG33" s="933">
        <v>1</v>
      </c>
      <c r="AH33" s="933" t="s">
        <v>506</v>
      </c>
      <c r="AI33" s="933">
        <v>1</v>
      </c>
      <c r="AJ33" s="555">
        <f t="shared" si="25"/>
        <v>22</v>
      </c>
      <c r="AK33" s="555">
        <f t="shared" si="26"/>
        <v>0</v>
      </c>
      <c r="AL33" s="555">
        <f t="shared" si="27"/>
        <v>1</v>
      </c>
      <c r="AM33" s="555">
        <f t="shared" si="28"/>
        <v>1</v>
      </c>
      <c r="AN33" s="933"/>
      <c r="AO33" s="933"/>
      <c r="AP33" s="933"/>
      <c r="AQ33" s="933"/>
      <c r="AR33" s="933"/>
      <c r="AS33" s="933"/>
      <c r="AT33" s="932"/>
      <c r="AU33" s="933"/>
      <c r="AV33" s="933"/>
      <c r="AW33" s="933">
        <v>4</v>
      </c>
      <c r="AX33" s="933"/>
      <c r="AY33" s="933">
        <v>2.4</v>
      </c>
      <c r="AZ33" s="933"/>
      <c r="BA33" s="932"/>
      <c r="BB33" s="933"/>
      <c r="BC33" s="933">
        <v>2</v>
      </c>
      <c r="BD33" s="933"/>
      <c r="BE33" s="933">
        <v>2</v>
      </c>
      <c r="BF33" s="933">
        <v>5.5</v>
      </c>
      <c r="BG33" s="933"/>
      <c r="BH33" s="932">
        <v>8</v>
      </c>
      <c r="BI33" s="933">
        <v>3</v>
      </c>
      <c r="BJ33" s="933">
        <v>2</v>
      </c>
      <c r="BK33" s="933"/>
      <c r="BL33" s="933">
        <v>4</v>
      </c>
      <c r="BM33" s="933">
        <v>5</v>
      </c>
      <c r="BN33" s="933"/>
      <c r="BO33" s="932"/>
      <c r="BP33" s="933"/>
      <c r="BQ33" s="933"/>
      <c r="BR33" s="933">
        <v>3</v>
      </c>
      <c r="BS33" s="528">
        <f t="shared" si="32"/>
        <v>32.9</v>
      </c>
      <c r="BT33" s="528">
        <f t="shared" si="33"/>
        <v>8</v>
      </c>
      <c r="BU33" s="528">
        <f t="shared" si="34"/>
        <v>0</v>
      </c>
      <c r="BV33" s="786"/>
      <c r="BW33" s="676">
        <f t="shared" si="35"/>
        <v>6</v>
      </c>
      <c r="BX33" s="793">
        <f t="shared" si="30"/>
        <v>216.9</v>
      </c>
      <c r="BY33" s="796">
        <f t="shared" si="31"/>
        <v>108.45</v>
      </c>
      <c r="BZ33" s="907"/>
    </row>
    <row r="34" spans="1:80" s="794" customFormat="1" x14ac:dyDescent="0.25">
      <c r="A34" s="263">
        <f>'BANG LUONG 1'!A35</f>
        <v>28</v>
      </c>
      <c r="B34" s="263" t="str">
        <f>'BANG LUONG 1'!B35</f>
        <v>NV30</v>
      </c>
      <c r="C34" s="263" t="str">
        <f>'BANG LUONG 1'!C35</f>
        <v>Lê Minh Trọng</v>
      </c>
      <c r="D34" s="263" t="str">
        <f>'BANG LUONG 1'!D35</f>
        <v>Lái xe cơ giới</v>
      </c>
      <c r="E34" s="933">
        <v>1</v>
      </c>
      <c r="F34" s="933" t="s">
        <v>506</v>
      </c>
      <c r="G34" s="933">
        <v>1</v>
      </c>
      <c r="H34" s="933">
        <v>1</v>
      </c>
      <c r="I34" s="933" t="s">
        <v>506</v>
      </c>
      <c r="J34" s="933">
        <v>1</v>
      </c>
      <c r="K34" s="932"/>
      <c r="L34" s="933" t="s">
        <v>915</v>
      </c>
      <c r="M34" s="933">
        <v>1</v>
      </c>
      <c r="N34" s="933" t="s">
        <v>506</v>
      </c>
      <c r="O34" s="933">
        <v>1</v>
      </c>
      <c r="P34" s="933">
        <v>1</v>
      </c>
      <c r="Q34" s="933">
        <v>1</v>
      </c>
      <c r="R34" s="932"/>
      <c r="S34" s="933">
        <v>1</v>
      </c>
      <c r="T34" s="933">
        <v>1</v>
      </c>
      <c r="U34" s="933">
        <v>1</v>
      </c>
      <c r="V34" s="933">
        <v>1</v>
      </c>
      <c r="W34" s="933">
        <v>1</v>
      </c>
      <c r="X34" s="933" t="s">
        <v>506</v>
      </c>
      <c r="Y34" s="932"/>
      <c r="Z34" s="942" t="s">
        <v>506</v>
      </c>
      <c r="AA34" s="933">
        <v>1</v>
      </c>
      <c r="AB34" s="933">
        <v>1</v>
      </c>
      <c r="AC34" s="933">
        <v>1</v>
      </c>
      <c r="AD34" s="933">
        <v>1</v>
      </c>
      <c r="AE34" s="933">
        <v>1</v>
      </c>
      <c r="AF34" s="932"/>
      <c r="AG34" s="942" t="s">
        <v>506</v>
      </c>
      <c r="AH34" s="933">
        <v>1</v>
      </c>
      <c r="AI34" s="933">
        <v>1</v>
      </c>
      <c r="AJ34" s="555">
        <f t="shared" si="25"/>
        <v>20</v>
      </c>
      <c r="AK34" s="555">
        <f t="shared" si="26"/>
        <v>0</v>
      </c>
      <c r="AL34" s="555">
        <f t="shared" si="27"/>
        <v>6</v>
      </c>
      <c r="AM34" s="555">
        <f t="shared" si="28"/>
        <v>1</v>
      </c>
      <c r="AN34" s="933"/>
      <c r="AO34" s="933"/>
      <c r="AP34" s="933"/>
      <c r="AQ34" s="933"/>
      <c r="AR34" s="933"/>
      <c r="AS34" s="933"/>
      <c r="AT34" s="979">
        <v>8</v>
      </c>
      <c r="AU34" s="933"/>
      <c r="AV34" s="933"/>
      <c r="AW34" s="933"/>
      <c r="AX34" s="933"/>
      <c r="AY34" s="933">
        <v>3</v>
      </c>
      <c r="AZ34" s="933"/>
      <c r="BA34" s="932">
        <v>4</v>
      </c>
      <c r="BB34" s="933"/>
      <c r="BC34" s="933"/>
      <c r="BD34" s="933"/>
      <c r="BE34" s="933"/>
      <c r="BF34" s="933"/>
      <c r="BG34" s="933"/>
      <c r="BH34" s="932"/>
      <c r="BI34" s="933"/>
      <c r="BJ34" s="933">
        <v>1.5</v>
      </c>
      <c r="BK34" s="933"/>
      <c r="BL34" s="933"/>
      <c r="BM34" s="933"/>
      <c r="BN34" s="933"/>
      <c r="BO34" s="932"/>
      <c r="BP34" s="933"/>
      <c r="BQ34" s="933">
        <v>4.5</v>
      </c>
      <c r="BR34" s="933"/>
      <c r="BS34" s="528">
        <f t="shared" si="32"/>
        <v>9</v>
      </c>
      <c r="BT34" s="528">
        <f t="shared" si="33"/>
        <v>12</v>
      </c>
      <c r="BU34" s="528">
        <f t="shared" si="34"/>
        <v>0</v>
      </c>
      <c r="BV34" s="786"/>
      <c r="BW34" s="676">
        <f t="shared" si="35"/>
        <v>2</v>
      </c>
      <c r="BX34" s="793">
        <f t="shared" si="30"/>
        <v>181</v>
      </c>
      <c r="BY34" s="796">
        <f t="shared" si="31"/>
        <v>90.5</v>
      </c>
      <c r="BZ34" s="822"/>
      <c r="CA34" s="820"/>
      <c r="CB34" s="796"/>
    </row>
    <row r="35" spans="1:80" s="794" customFormat="1" x14ac:dyDescent="0.25">
      <c r="A35" s="263">
        <f>'BANG LUONG 1'!A36</f>
        <v>29</v>
      </c>
      <c r="B35" s="263" t="str">
        <f>'BANG LUONG 1'!B36</f>
        <v>NV31</v>
      </c>
      <c r="C35" s="263" t="str">
        <f>'BANG LUONG 1'!C36</f>
        <v>Nguyễn Văn Lâm</v>
      </c>
      <c r="D35" s="263" t="str">
        <f>'BANG LUONG 1'!D36</f>
        <v>Lái xe cơ giới</v>
      </c>
      <c r="E35" s="933">
        <v>1</v>
      </c>
      <c r="F35" s="933">
        <v>1</v>
      </c>
      <c r="G35" s="933">
        <v>1</v>
      </c>
      <c r="H35" s="933">
        <v>1</v>
      </c>
      <c r="I35" s="933">
        <v>1</v>
      </c>
      <c r="J35" s="933" t="s">
        <v>506</v>
      </c>
      <c r="K35" s="932"/>
      <c r="L35" s="933" t="s">
        <v>915</v>
      </c>
      <c r="M35" s="933">
        <v>1</v>
      </c>
      <c r="N35" s="933">
        <v>1</v>
      </c>
      <c r="O35" s="933">
        <v>1</v>
      </c>
      <c r="P35" s="933">
        <v>1</v>
      </c>
      <c r="Q35" s="933">
        <v>1</v>
      </c>
      <c r="R35" s="932"/>
      <c r="S35" s="933">
        <v>1</v>
      </c>
      <c r="T35" s="933">
        <v>1</v>
      </c>
      <c r="U35" s="933">
        <v>1</v>
      </c>
      <c r="V35" s="933">
        <v>1</v>
      </c>
      <c r="W35" s="933">
        <v>1</v>
      </c>
      <c r="X35" s="933">
        <v>1</v>
      </c>
      <c r="Y35" s="932"/>
      <c r="Z35" s="933">
        <v>1</v>
      </c>
      <c r="AA35" s="933">
        <v>1</v>
      </c>
      <c r="AB35" s="933">
        <v>1</v>
      </c>
      <c r="AC35" s="933">
        <v>1</v>
      </c>
      <c r="AD35" s="933">
        <v>1</v>
      </c>
      <c r="AE35" s="933" t="s">
        <v>506</v>
      </c>
      <c r="AF35" s="932"/>
      <c r="AG35" s="933">
        <v>1</v>
      </c>
      <c r="AH35" s="933" t="s">
        <v>506</v>
      </c>
      <c r="AI35" s="933" t="s">
        <v>506</v>
      </c>
      <c r="AJ35" s="555">
        <f t="shared" si="25"/>
        <v>22</v>
      </c>
      <c r="AK35" s="555">
        <f t="shared" si="26"/>
        <v>0</v>
      </c>
      <c r="AL35" s="555">
        <f t="shared" si="27"/>
        <v>4</v>
      </c>
      <c r="AM35" s="555">
        <f t="shared" si="28"/>
        <v>1</v>
      </c>
      <c r="AN35" s="933"/>
      <c r="AO35" s="933"/>
      <c r="AP35" s="933">
        <v>1</v>
      </c>
      <c r="AQ35" s="933"/>
      <c r="AR35" s="933">
        <v>3</v>
      </c>
      <c r="AS35" s="933"/>
      <c r="AT35" s="932"/>
      <c r="AU35" s="933"/>
      <c r="AV35" s="933">
        <v>3</v>
      </c>
      <c r="AW35" s="933"/>
      <c r="AX35" s="933">
        <v>0.5</v>
      </c>
      <c r="AY35" s="933"/>
      <c r="AZ35" s="933">
        <v>0.5</v>
      </c>
      <c r="BA35" s="932">
        <v>8</v>
      </c>
      <c r="BB35" s="933">
        <v>3.5</v>
      </c>
      <c r="BC35" s="933"/>
      <c r="BD35" s="933">
        <v>3.5</v>
      </c>
      <c r="BE35" s="933">
        <v>2.5</v>
      </c>
      <c r="BF35" s="933">
        <v>4</v>
      </c>
      <c r="BG35" s="933"/>
      <c r="BH35" s="932"/>
      <c r="BI35" s="933"/>
      <c r="BJ35" s="933">
        <v>4</v>
      </c>
      <c r="BK35" s="933"/>
      <c r="BL35" s="933">
        <v>4</v>
      </c>
      <c r="BM35" s="933"/>
      <c r="BN35" s="933"/>
      <c r="BO35" s="932"/>
      <c r="BP35" s="933">
        <v>2.5</v>
      </c>
      <c r="BQ35" s="933"/>
      <c r="BR35" s="933"/>
      <c r="BS35" s="528">
        <f t="shared" si="32"/>
        <v>32</v>
      </c>
      <c r="BT35" s="528">
        <f t="shared" si="33"/>
        <v>8</v>
      </c>
      <c r="BU35" s="528">
        <f t="shared" si="34"/>
        <v>0</v>
      </c>
      <c r="BV35" s="786"/>
      <c r="BW35" s="676">
        <f t="shared" si="35"/>
        <v>7</v>
      </c>
      <c r="BX35" s="793">
        <f t="shared" si="30"/>
        <v>216</v>
      </c>
      <c r="BY35" s="796">
        <f t="shared" si="31"/>
        <v>108</v>
      </c>
      <c r="BZ35" s="907"/>
    </row>
    <row r="36" spans="1:80" s="794" customFormat="1" ht="21" customHeight="1" x14ac:dyDescent="0.25">
      <c r="A36" s="803">
        <f>'BANG LUONG 1'!A37</f>
        <v>30</v>
      </c>
      <c r="B36" s="803" t="str">
        <f>'BANG LUONG 1'!B37</f>
        <v>NV32</v>
      </c>
      <c r="C36" s="803" t="str">
        <f>'BANG LUONG 1'!C37</f>
        <v>Lương Minh Tâm</v>
      </c>
      <c r="D36" s="263" t="str">
        <f>'BANG LUONG 1'!D37</f>
        <v>Vận hành xe xúc BH</v>
      </c>
      <c r="E36" s="933">
        <v>1</v>
      </c>
      <c r="F36" s="933">
        <v>1</v>
      </c>
      <c r="G36" s="933">
        <v>1</v>
      </c>
      <c r="H36" s="933">
        <v>1</v>
      </c>
      <c r="I36" s="933">
        <v>1</v>
      </c>
      <c r="J36" s="933">
        <v>1</v>
      </c>
      <c r="K36" s="932"/>
      <c r="L36" s="933" t="s">
        <v>915</v>
      </c>
      <c r="M36" s="933">
        <v>1</v>
      </c>
      <c r="N36" s="933">
        <v>1</v>
      </c>
      <c r="O36" s="933">
        <v>1</v>
      </c>
      <c r="P36" s="933">
        <v>1</v>
      </c>
      <c r="Q36" s="933">
        <v>1</v>
      </c>
      <c r="R36" s="932"/>
      <c r="S36" s="933">
        <v>1</v>
      </c>
      <c r="T36" s="933">
        <v>1</v>
      </c>
      <c r="U36" s="933">
        <v>1</v>
      </c>
      <c r="V36" s="933">
        <v>1</v>
      </c>
      <c r="W36" s="933">
        <v>1</v>
      </c>
      <c r="X36" s="933">
        <v>1</v>
      </c>
      <c r="Y36" s="932"/>
      <c r="Z36" s="933">
        <v>1</v>
      </c>
      <c r="AA36" s="933">
        <v>1</v>
      </c>
      <c r="AB36" s="933">
        <v>1</v>
      </c>
      <c r="AC36" s="933" t="s">
        <v>506</v>
      </c>
      <c r="AD36" s="933">
        <v>1</v>
      </c>
      <c r="AE36" s="933">
        <v>1</v>
      </c>
      <c r="AF36" s="932"/>
      <c r="AG36" s="933">
        <v>1</v>
      </c>
      <c r="AH36" s="933">
        <v>1</v>
      </c>
      <c r="AI36" s="933">
        <v>1</v>
      </c>
      <c r="AJ36" s="555">
        <f>SUM(E36:AI36)-AK36</f>
        <v>25</v>
      </c>
      <c r="AK36" s="555">
        <f>SUMIF($E$4:$AI$4,"LT",E36:AI36)</f>
        <v>0</v>
      </c>
      <c r="AL36" s="555">
        <f>COUNTIF(E36:AI36,"P")</f>
        <v>1</v>
      </c>
      <c r="AM36" s="555">
        <f>COUNTIF(E36:AI36,"LT")</f>
        <v>1</v>
      </c>
      <c r="AN36" s="933">
        <v>4</v>
      </c>
      <c r="AO36" s="933">
        <v>1.5</v>
      </c>
      <c r="AP36" s="933">
        <v>2</v>
      </c>
      <c r="AQ36" s="933">
        <v>4</v>
      </c>
      <c r="AR36" s="933">
        <v>2</v>
      </c>
      <c r="AS36" s="933">
        <v>3.5</v>
      </c>
      <c r="AT36" s="942">
        <v>16</v>
      </c>
      <c r="AU36" s="933"/>
      <c r="AV36" s="933"/>
      <c r="AW36" s="933">
        <v>4</v>
      </c>
      <c r="AX36" s="933">
        <v>4</v>
      </c>
      <c r="AY36" s="933">
        <v>3</v>
      </c>
      <c r="AZ36" s="933"/>
      <c r="BA36" s="932">
        <v>8</v>
      </c>
      <c r="BB36" s="933">
        <v>2</v>
      </c>
      <c r="BC36" s="933">
        <v>4</v>
      </c>
      <c r="BD36" s="933">
        <v>4</v>
      </c>
      <c r="BE36" s="933"/>
      <c r="BF36" s="933">
        <v>5</v>
      </c>
      <c r="BG36" s="933"/>
      <c r="BH36" s="932">
        <v>8</v>
      </c>
      <c r="BI36" s="933"/>
      <c r="BJ36" s="933"/>
      <c r="BK36" s="933">
        <v>1.5</v>
      </c>
      <c r="BL36" s="933"/>
      <c r="BM36" s="933"/>
      <c r="BN36" s="933">
        <v>4</v>
      </c>
      <c r="BO36" s="932">
        <v>8</v>
      </c>
      <c r="BP36" s="933">
        <v>4</v>
      </c>
      <c r="BQ36" s="933">
        <v>4.5</v>
      </c>
      <c r="BR36" s="933">
        <v>4.5</v>
      </c>
      <c r="BS36" s="528">
        <f t="shared" si="32"/>
        <v>61.5</v>
      </c>
      <c r="BT36" s="528">
        <f t="shared" si="33"/>
        <v>40</v>
      </c>
      <c r="BU36" s="528">
        <f t="shared" si="34"/>
        <v>0</v>
      </c>
      <c r="BV36" s="786"/>
      <c r="BW36" s="676">
        <f t="shared" si="35"/>
        <v>13</v>
      </c>
      <c r="BX36" s="793">
        <f t="shared" si="30"/>
        <v>301.5</v>
      </c>
      <c r="BY36" s="796">
        <f t="shared" si="31"/>
        <v>150.75</v>
      </c>
      <c r="BZ36" s="907"/>
    </row>
    <row r="37" spans="1:80" s="794" customFormat="1" ht="21" customHeight="1" x14ac:dyDescent="0.25">
      <c r="A37" s="804">
        <f>'BANG LUONG 1'!A38</f>
        <v>31</v>
      </c>
      <c r="B37" s="804" t="str">
        <f>'BANG LUONG 1'!B38</f>
        <v>NV33</v>
      </c>
      <c r="C37" s="804" t="str">
        <f>'BANG LUONG 1'!C38</f>
        <v>Nguyễn Thành Tài</v>
      </c>
      <c r="D37" s="263" t="str">
        <f>'BANG LUONG 1'!D38</f>
        <v>Lái xe nâng</v>
      </c>
      <c r="E37" s="933">
        <v>1</v>
      </c>
      <c r="F37" s="933">
        <v>1</v>
      </c>
      <c r="G37" s="933">
        <v>1</v>
      </c>
      <c r="H37" s="933">
        <v>1</v>
      </c>
      <c r="I37" s="933">
        <v>1</v>
      </c>
      <c r="J37" s="933">
        <v>1</v>
      </c>
      <c r="K37" s="932"/>
      <c r="L37" s="933" t="s">
        <v>915</v>
      </c>
      <c r="M37" s="933">
        <v>1</v>
      </c>
      <c r="N37" s="933">
        <v>1</v>
      </c>
      <c r="O37" s="933">
        <v>1</v>
      </c>
      <c r="P37" s="933">
        <v>1</v>
      </c>
      <c r="Q37" s="933">
        <v>1</v>
      </c>
      <c r="R37" s="932"/>
      <c r="S37" s="933">
        <v>1</v>
      </c>
      <c r="T37" s="933">
        <v>1</v>
      </c>
      <c r="U37" s="933">
        <v>1</v>
      </c>
      <c r="V37" s="933">
        <v>1</v>
      </c>
      <c r="W37" s="933">
        <v>1</v>
      </c>
      <c r="X37" s="933">
        <v>1</v>
      </c>
      <c r="Y37" s="932"/>
      <c r="Z37" s="933">
        <v>1</v>
      </c>
      <c r="AA37" s="933">
        <v>1</v>
      </c>
      <c r="AB37" s="933">
        <v>1</v>
      </c>
      <c r="AC37" s="933">
        <v>1</v>
      </c>
      <c r="AD37" s="933">
        <v>1</v>
      </c>
      <c r="AE37" s="933">
        <v>1</v>
      </c>
      <c r="AF37" s="932"/>
      <c r="AG37" s="933">
        <v>1</v>
      </c>
      <c r="AH37" s="933">
        <v>1</v>
      </c>
      <c r="AI37" s="933">
        <v>1</v>
      </c>
      <c r="AJ37" s="555">
        <f>SUM(E37:AI37)-AK37</f>
        <v>26</v>
      </c>
      <c r="AK37" s="555">
        <f>SUMIF($E$4:$AI$4,"LT",E37:AI37)</f>
        <v>0</v>
      </c>
      <c r="AL37" s="555">
        <f>COUNTIF(E37:AI37,"P")</f>
        <v>0</v>
      </c>
      <c r="AM37" s="555">
        <f>COUNTIF(E37:AI37,"LT")</f>
        <v>1</v>
      </c>
      <c r="AN37" s="933">
        <v>1</v>
      </c>
      <c r="AO37" s="933">
        <v>1</v>
      </c>
      <c r="AP37" s="933">
        <v>1</v>
      </c>
      <c r="AQ37" s="933">
        <f>1+2</f>
        <v>3</v>
      </c>
      <c r="AR37" s="933">
        <v>1</v>
      </c>
      <c r="AS37" s="933"/>
      <c r="AT37" s="932"/>
      <c r="AU37" s="933"/>
      <c r="AV37" s="933">
        <v>1</v>
      </c>
      <c r="AW37" s="933">
        <v>1</v>
      </c>
      <c r="AX37" s="933">
        <v>1</v>
      </c>
      <c r="AY37" s="933"/>
      <c r="AZ37" s="933">
        <v>1</v>
      </c>
      <c r="BA37" s="932"/>
      <c r="BB37" s="933">
        <v>1</v>
      </c>
      <c r="BC37" s="933">
        <v>1</v>
      </c>
      <c r="BD37" s="933">
        <v>1</v>
      </c>
      <c r="BE37" s="933"/>
      <c r="BF37" s="933">
        <v>5.5</v>
      </c>
      <c r="BG37" s="933">
        <v>1</v>
      </c>
      <c r="BH37" s="932"/>
      <c r="BI37" s="933">
        <v>1</v>
      </c>
      <c r="BJ37" s="933">
        <v>1</v>
      </c>
      <c r="BK37" s="933">
        <v>3.5</v>
      </c>
      <c r="BL37" s="933">
        <v>1</v>
      </c>
      <c r="BM37" s="933">
        <v>1</v>
      </c>
      <c r="BN37" s="933">
        <v>1</v>
      </c>
      <c r="BO37" s="932"/>
      <c r="BP37" s="933">
        <v>1</v>
      </c>
      <c r="BQ37" s="933">
        <v>1</v>
      </c>
      <c r="BR37" s="933">
        <v>1</v>
      </c>
      <c r="BS37" s="528">
        <f t="shared" si="32"/>
        <v>32</v>
      </c>
      <c r="BT37" s="528">
        <f t="shared" si="33"/>
        <v>0</v>
      </c>
      <c r="BU37" s="528">
        <f t="shared" si="34"/>
        <v>0</v>
      </c>
      <c r="BV37" s="786"/>
      <c r="BW37" s="676">
        <f t="shared" si="35"/>
        <v>3</v>
      </c>
      <c r="BX37" s="793">
        <f t="shared" si="30"/>
        <v>240</v>
      </c>
      <c r="BY37" s="796">
        <f t="shared" si="31"/>
        <v>120</v>
      </c>
    </row>
    <row r="38" spans="1:80" s="705" customFormat="1" ht="19.5" customHeight="1" x14ac:dyDescent="0.25">
      <c r="A38" s="703"/>
      <c r="B38" s="708"/>
      <c r="C38" s="710" t="s">
        <v>737</v>
      </c>
      <c r="D38" s="708"/>
      <c r="E38" s="708"/>
      <c r="F38" s="708"/>
      <c r="G38" s="708"/>
      <c r="H38" s="708"/>
      <c r="I38" s="708"/>
      <c r="J38" s="708"/>
      <c r="K38" s="708"/>
      <c r="L38" s="708"/>
      <c r="M38" s="708"/>
      <c r="N38" s="708"/>
      <c r="O38" s="708"/>
      <c r="P38" s="708"/>
      <c r="Q38" s="708"/>
      <c r="R38" s="708"/>
      <c r="S38" s="708"/>
      <c r="T38" s="708"/>
      <c r="U38" s="708"/>
      <c r="V38" s="708"/>
      <c r="W38" s="708"/>
      <c r="X38" s="708"/>
      <c r="Y38" s="708"/>
      <c r="Z38" s="708"/>
      <c r="AA38" s="708"/>
      <c r="AB38" s="708"/>
      <c r="AC38" s="708"/>
      <c r="AD38" s="708"/>
      <c r="AE38" s="708"/>
      <c r="AF38" s="708"/>
      <c r="AG38" s="708"/>
      <c r="AH38" s="708"/>
      <c r="AI38" s="708"/>
      <c r="AJ38" s="708"/>
      <c r="AK38" s="708"/>
      <c r="AL38" s="708"/>
      <c r="AM38" s="708"/>
      <c r="AN38" s="934"/>
      <c r="AO38" s="934"/>
      <c r="AP38" s="934"/>
      <c r="AQ38" s="934"/>
      <c r="AR38" s="934"/>
      <c r="AS38" s="934"/>
      <c r="AT38" s="932"/>
      <c r="AU38" s="934"/>
      <c r="AV38" s="934"/>
      <c r="AW38" s="934"/>
      <c r="AX38" s="934"/>
      <c r="AY38" s="934"/>
      <c r="AZ38" s="934"/>
      <c r="BA38" s="932"/>
      <c r="BB38" s="934"/>
      <c r="BC38" s="934"/>
      <c r="BD38" s="934"/>
      <c r="BE38" s="934"/>
      <c r="BF38" s="934"/>
      <c r="BG38" s="934"/>
      <c r="BH38" s="932"/>
      <c r="BI38" s="934"/>
      <c r="BJ38" s="934"/>
      <c r="BK38" s="934"/>
      <c r="BL38" s="934"/>
      <c r="BM38" s="934"/>
      <c r="BN38" s="934"/>
      <c r="BO38" s="932"/>
      <c r="BP38" s="934"/>
      <c r="BQ38" s="934"/>
      <c r="BR38" s="934"/>
      <c r="BS38" s="708"/>
      <c r="BT38" s="708"/>
      <c r="BU38" s="708"/>
      <c r="BV38" s="708"/>
      <c r="BW38" s="708"/>
      <c r="BX38" s="793">
        <f t="shared" si="30"/>
        <v>0</v>
      </c>
      <c r="BY38" s="796">
        <f t="shared" si="31"/>
        <v>0</v>
      </c>
    </row>
    <row r="39" spans="1:80" ht="21" customHeight="1" x14ac:dyDescent="0.25">
      <c r="A39" s="675">
        <f>'BANG LUONG 1'!A40</f>
        <v>32</v>
      </c>
      <c r="B39" s="263" t="str">
        <f>'BANG LUONG 1'!B40</f>
        <v>NV34</v>
      </c>
      <c r="C39" s="263" t="s">
        <v>775</v>
      </c>
      <c r="D39" s="263" t="s">
        <v>776</v>
      </c>
      <c r="E39" s="933">
        <v>1</v>
      </c>
      <c r="F39" s="933">
        <v>1</v>
      </c>
      <c r="G39" s="933">
        <v>1</v>
      </c>
      <c r="H39" s="933">
        <v>0</v>
      </c>
      <c r="I39" s="933">
        <v>1</v>
      </c>
      <c r="J39" s="933">
        <v>1</v>
      </c>
      <c r="K39" s="932"/>
      <c r="L39" s="933" t="s">
        <v>915</v>
      </c>
      <c r="M39" s="933">
        <v>1</v>
      </c>
      <c r="N39" s="933">
        <v>1</v>
      </c>
      <c r="O39" s="933">
        <v>1</v>
      </c>
      <c r="P39" s="933">
        <v>1</v>
      </c>
      <c r="Q39" s="933">
        <v>0</v>
      </c>
      <c r="R39" s="932"/>
      <c r="S39" s="933">
        <v>1</v>
      </c>
      <c r="T39" s="933">
        <v>1</v>
      </c>
      <c r="U39" s="933">
        <v>1</v>
      </c>
      <c r="V39" s="933">
        <v>1</v>
      </c>
      <c r="W39" s="933">
        <v>1</v>
      </c>
      <c r="X39" s="933">
        <v>1</v>
      </c>
      <c r="Y39" s="932"/>
      <c r="Z39" s="933">
        <v>1</v>
      </c>
      <c r="AA39" s="933">
        <v>1</v>
      </c>
      <c r="AB39" s="933">
        <v>1</v>
      </c>
      <c r="AC39" s="933">
        <v>1</v>
      </c>
      <c r="AD39" s="933">
        <v>1</v>
      </c>
      <c r="AE39" s="933">
        <v>1</v>
      </c>
      <c r="AF39" s="932"/>
      <c r="AG39" s="933">
        <v>1</v>
      </c>
      <c r="AH39" s="933">
        <v>1</v>
      </c>
      <c r="AI39" s="933">
        <v>1</v>
      </c>
      <c r="AJ39" s="555">
        <f>SUM(E39:AI39)-AK39</f>
        <v>24</v>
      </c>
      <c r="AK39" s="555">
        <f>SUMIF($E$4:$AI$4,"LT",E39:AI39)</f>
        <v>0</v>
      </c>
      <c r="AL39" s="555">
        <f>COUNTIF(E39:AI39,"P")+0.5</f>
        <v>0.5</v>
      </c>
      <c r="AM39" s="555">
        <f>COUNTIF(E39:AI39,"LT")</f>
        <v>1</v>
      </c>
      <c r="AN39" s="933">
        <v>10</v>
      </c>
      <c r="AO39" s="933"/>
      <c r="AP39" s="933">
        <v>2</v>
      </c>
      <c r="AQ39" s="933"/>
      <c r="AR39" s="933">
        <v>10</v>
      </c>
      <c r="AS39" s="933">
        <v>10</v>
      </c>
      <c r="AT39" s="932"/>
      <c r="AU39" s="933"/>
      <c r="AV39" s="933"/>
      <c r="AW39" s="933">
        <v>10</v>
      </c>
      <c r="AX39" s="933">
        <v>10</v>
      </c>
      <c r="AY39" s="933"/>
      <c r="AZ39" s="933"/>
      <c r="BA39" s="932"/>
      <c r="BB39" s="933">
        <v>10</v>
      </c>
      <c r="BC39" s="933">
        <v>10</v>
      </c>
      <c r="BD39" s="933"/>
      <c r="BE39" s="933"/>
      <c r="BF39" s="933"/>
      <c r="BG39" s="933"/>
      <c r="BH39" s="932">
        <v>8</v>
      </c>
      <c r="BI39" s="933">
        <v>1.5</v>
      </c>
      <c r="BJ39" s="933">
        <v>10</v>
      </c>
      <c r="BK39" s="933">
        <v>10</v>
      </c>
      <c r="BL39" s="933"/>
      <c r="BM39" s="933">
        <v>10</v>
      </c>
      <c r="BN39" s="933"/>
      <c r="BO39" s="932">
        <v>4</v>
      </c>
      <c r="BP39" s="933">
        <v>10</v>
      </c>
      <c r="BQ39" s="933"/>
      <c r="BR39" s="933">
        <v>10</v>
      </c>
      <c r="BS39" s="528">
        <f>SUM(AN39:BR39)-BT39</f>
        <v>123.5</v>
      </c>
      <c r="BT39" s="528">
        <f>SUMIF($AN$4:$BR$4,"CN",AN39:BR39)</f>
        <v>12</v>
      </c>
      <c r="BU39" s="528"/>
      <c r="BV39" s="676"/>
      <c r="BW39" s="676">
        <f>COUNTIFS(AN39:BR39,"&gt;="&amp;$BW$3,$AN$4:$BR$4,"&lt;&gt;CN")</f>
        <v>12</v>
      </c>
      <c r="BX39" s="793">
        <f>+AJ39*8+BS39+BT39+AK39*8</f>
        <v>327.5</v>
      </c>
      <c r="BY39" s="796">
        <f>+BX39/2</f>
        <v>163.75</v>
      </c>
      <c r="BZ39" s="634">
        <f>BY39*60</f>
        <v>9825</v>
      </c>
      <c r="CA39" s="634"/>
    </row>
    <row r="40" spans="1:80" s="529" customFormat="1" ht="21" customHeight="1" x14ac:dyDescent="0.25">
      <c r="A40" s="675">
        <f>'BANG LUONG 1'!A41</f>
        <v>33</v>
      </c>
      <c r="B40" s="263" t="str">
        <f>'BANG LUONG 1'!B41</f>
        <v>NV35</v>
      </c>
      <c r="C40" s="263" t="str">
        <f>'BANG LUONG 1'!C41</f>
        <v>Nguyễn Văn Phụng</v>
      </c>
      <c r="D40" s="263" t="str">
        <f>'BANG LUONG 1'!D41</f>
        <v xml:space="preserve">Công nhân </v>
      </c>
      <c r="E40" s="933">
        <v>1</v>
      </c>
      <c r="F40" s="933">
        <v>1</v>
      </c>
      <c r="G40" s="933">
        <v>1</v>
      </c>
      <c r="H40" s="933">
        <v>1</v>
      </c>
      <c r="I40" s="933">
        <v>1</v>
      </c>
      <c r="J40" s="933">
        <v>1</v>
      </c>
      <c r="K40" s="932"/>
      <c r="L40" s="942">
        <v>1</v>
      </c>
      <c r="M40" s="933">
        <v>1</v>
      </c>
      <c r="N40" s="933">
        <v>1</v>
      </c>
      <c r="O40" s="933">
        <v>1</v>
      </c>
      <c r="P40" s="933">
        <v>1</v>
      </c>
      <c r="Q40" s="933">
        <v>1</v>
      </c>
      <c r="R40" s="932"/>
      <c r="S40" s="933">
        <v>1</v>
      </c>
      <c r="T40" s="933">
        <v>1</v>
      </c>
      <c r="U40" s="933">
        <v>0</v>
      </c>
      <c r="V40" s="933">
        <v>1</v>
      </c>
      <c r="W40" s="933">
        <v>1</v>
      </c>
      <c r="X40" s="933">
        <v>1</v>
      </c>
      <c r="Y40" s="932"/>
      <c r="Z40" s="933">
        <v>1</v>
      </c>
      <c r="AA40" s="933">
        <v>1</v>
      </c>
      <c r="AB40" s="933">
        <v>1</v>
      </c>
      <c r="AC40" s="933">
        <v>1</v>
      </c>
      <c r="AD40" s="933">
        <v>1</v>
      </c>
      <c r="AE40" s="933">
        <v>1</v>
      </c>
      <c r="AF40" s="932"/>
      <c r="AG40" s="933">
        <v>1</v>
      </c>
      <c r="AH40" s="933">
        <v>0</v>
      </c>
      <c r="AI40" s="933">
        <v>1</v>
      </c>
      <c r="AJ40" s="555">
        <f>SUM(E40:AI40)-AK40</f>
        <v>24</v>
      </c>
      <c r="AK40" s="555">
        <f>SUMIF($E$4:$AI$4,"LT",E40:AI40)</f>
        <v>1</v>
      </c>
      <c r="AL40" s="555">
        <f>COUNTIF(E40:AI40,"P")+0.5</f>
        <v>0.5</v>
      </c>
      <c r="AM40" s="555">
        <f>COUNTIF(E40:AI40,"LT")</f>
        <v>0</v>
      </c>
      <c r="AN40" s="933">
        <v>10</v>
      </c>
      <c r="AO40" s="933">
        <v>10</v>
      </c>
      <c r="AP40" s="933"/>
      <c r="AQ40" s="933">
        <v>10</v>
      </c>
      <c r="AR40" s="933">
        <v>10</v>
      </c>
      <c r="AS40" s="933"/>
      <c r="AT40" s="932">
        <v>8</v>
      </c>
      <c r="AU40" s="933"/>
      <c r="AV40" s="933">
        <v>10</v>
      </c>
      <c r="AW40" s="933">
        <v>10</v>
      </c>
      <c r="AX40" s="933">
        <v>10</v>
      </c>
      <c r="AY40" s="933">
        <v>10</v>
      </c>
      <c r="AZ40" s="933">
        <v>10</v>
      </c>
      <c r="BA40" s="932">
        <v>8</v>
      </c>
      <c r="BB40" s="933">
        <v>10</v>
      </c>
      <c r="BC40" s="933"/>
      <c r="BD40" s="933"/>
      <c r="BE40" s="933"/>
      <c r="BF40" s="933">
        <v>10</v>
      </c>
      <c r="BG40" s="933"/>
      <c r="BH40" s="932"/>
      <c r="BI40" s="933">
        <v>1.5</v>
      </c>
      <c r="BJ40" s="933">
        <v>10</v>
      </c>
      <c r="BK40" s="933"/>
      <c r="BL40" s="933">
        <v>10</v>
      </c>
      <c r="BM40" s="933">
        <v>10</v>
      </c>
      <c r="BN40" s="933"/>
      <c r="BO40" s="932">
        <v>8</v>
      </c>
      <c r="BP40" s="933">
        <v>10</v>
      </c>
      <c r="BQ40" s="933"/>
      <c r="BR40" s="933">
        <v>10</v>
      </c>
      <c r="BS40" s="528">
        <f>SUM(AN40:BR40)-BT40</f>
        <v>161.5</v>
      </c>
      <c r="BT40" s="528">
        <f>SUMIF($AN$4:$BR$4,"CN",AN40:BR40)</f>
        <v>24</v>
      </c>
      <c r="BU40" s="528">
        <f>SUMIF($AN$4:$BR$4,"LT",AN40:BR40)</f>
        <v>0</v>
      </c>
      <c r="BV40" s="676"/>
      <c r="BW40" s="676">
        <f>COUNTIFS(AN40:BR40,"&gt;="&amp;$BW$3,$AN$4:$BR$4,"&lt;&gt;CN")</f>
        <v>16</v>
      </c>
      <c r="BX40" s="793">
        <f t="shared" si="30"/>
        <v>385.5</v>
      </c>
      <c r="BY40" s="796"/>
      <c r="BZ40" s="634">
        <f>BX40*60</f>
        <v>23130</v>
      </c>
    </row>
    <row r="41" spans="1:80" ht="21" customHeight="1" x14ac:dyDescent="0.25">
      <c r="A41" s="675">
        <f>'BANG LUONG 1'!A42</f>
        <v>34</v>
      </c>
      <c r="B41" s="263" t="str">
        <f>'BANG LUONG 1'!B42</f>
        <v>NV37</v>
      </c>
      <c r="C41" s="263" t="str">
        <f>'BANG LUONG 1'!C42</f>
        <v>Nguyễn Tấn Kiệt</v>
      </c>
      <c r="D41" s="263" t="str">
        <f>'BANG LUONG 1'!D42</f>
        <v xml:space="preserve">Công nhân </v>
      </c>
      <c r="E41" s="933">
        <v>1</v>
      </c>
      <c r="F41" s="933">
        <v>1</v>
      </c>
      <c r="G41" s="933">
        <v>1</v>
      </c>
      <c r="H41" s="933">
        <v>1</v>
      </c>
      <c r="I41" s="933">
        <v>1</v>
      </c>
      <c r="J41" s="933">
        <v>1</v>
      </c>
      <c r="K41" s="932"/>
      <c r="L41" s="933" t="s">
        <v>915</v>
      </c>
      <c r="M41" s="933">
        <v>1</v>
      </c>
      <c r="N41" s="933">
        <v>1</v>
      </c>
      <c r="O41" s="933">
        <v>1</v>
      </c>
      <c r="P41" s="933">
        <v>1</v>
      </c>
      <c r="Q41" s="933">
        <v>1</v>
      </c>
      <c r="R41" s="932"/>
      <c r="S41" s="933">
        <v>1</v>
      </c>
      <c r="T41" s="933">
        <v>1</v>
      </c>
      <c r="U41" s="933">
        <v>1</v>
      </c>
      <c r="V41" s="933">
        <v>1</v>
      </c>
      <c r="W41" s="933">
        <v>1</v>
      </c>
      <c r="X41" s="933">
        <v>1</v>
      </c>
      <c r="Y41" s="932"/>
      <c r="Z41" s="933">
        <v>1</v>
      </c>
      <c r="AA41" s="933">
        <v>1</v>
      </c>
      <c r="AB41" s="933">
        <v>1</v>
      </c>
      <c r="AC41" s="933">
        <v>1</v>
      </c>
      <c r="AD41" s="933">
        <v>1</v>
      </c>
      <c r="AE41" s="933">
        <v>1</v>
      </c>
      <c r="AF41" s="932"/>
      <c r="AG41" s="933">
        <v>1</v>
      </c>
      <c r="AH41" s="933">
        <v>1</v>
      </c>
      <c r="AI41" s="933">
        <v>1</v>
      </c>
      <c r="AJ41" s="555">
        <f>SUM(E41:AI41)-AK41</f>
        <v>26</v>
      </c>
      <c r="AK41" s="555">
        <f>SUMIF($E$4:$AI$4,"LT",E41:AI41)</f>
        <v>0</v>
      </c>
      <c r="AL41" s="555">
        <f>COUNTIF(E41:AI41,"P")</f>
        <v>0</v>
      </c>
      <c r="AM41" s="555">
        <f>COUNTIF(E41:AI41,"LT")</f>
        <v>1</v>
      </c>
      <c r="AN41" s="933"/>
      <c r="AO41" s="933"/>
      <c r="AP41" s="933"/>
      <c r="AQ41" s="933"/>
      <c r="AR41" s="933"/>
      <c r="AS41" s="933"/>
      <c r="AT41" s="932">
        <v>8</v>
      </c>
      <c r="AU41" s="933"/>
      <c r="AV41" s="933"/>
      <c r="AW41" s="933"/>
      <c r="AX41" s="933"/>
      <c r="AY41" s="933"/>
      <c r="AZ41" s="933"/>
      <c r="BA41" s="932"/>
      <c r="BB41" s="933"/>
      <c r="BC41" s="933"/>
      <c r="BD41" s="933"/>
      <c r="BE41" s="933"/>
      <c r="BF41" s="933"/>
      <c r="BG41" s="933"/>
      <c r="BH41" s="932"/>
      <c r="BI41" s="933"/>
      <c r="BJ41" s="933"/>
      <c r="BK41" s="933"/>
      <c r="BL41" s="933"/>
      <c r="BM41" s="933"/>
      <c r="BN41" s="933"/>
      <c r="BO41" s="932">
        <v>8</v>
      </c>
      <c r="BP41" s="933"/>
      <c r="BQ41" s="933"/>
      <c r="BR41" s="933"/>
      <c r="BS41" s="528">
        <f>SUM(AN41:BR41)-BT41</f>
        <v>0</v>
      </c>
      <c r="BT41" s="528">
        <f>SUMIF($AN$4:$BR$4,"CN",AN41:BR41)</f>
        <v>16</v>
      </c>
      <c r="BU41" s="528">
        <f>SUMIF($AN$4:$BR$4,"LT",AN41:BR41)</f>
        <v>0</v>
      </c>
      <c r="BV41" s="676"/>
      <c r="BW41" s="676">
        <f>COUNTIFS(AN41:BR41,"&gt;="&amp;$BW$3,$AN$4:$BR$4,"&lt;&gt;CN")</f>
        <v>0</v>
      </c>
      <c r="BX41" s="793">
        <f t="shared" si="30"/>
        <v>224</v>
      </c>
      <c r="BY41" s="796"/>
      <c r="BZ41" s="634">
        <f t="shared" ref="BZ41:BZ46" si="36">BX41*60</f>
        <v>13440</v>
      </c>
      <c r="CA41" s="529"/>
      <c r="CB41" s="529"/>
    </row>
    <row r="42" spans="1:80" ht="21" customHeight="1" x14ac:dyDescent="0.25">
      <c r="A42" s="675"/>
      <c r="B42" s="263" t="str">
        <f>'BANG LUONG 1'!B43</f>
        <v>NV39</v>
      </c>
      <c r="C42" s="263" t="str">
        <f>'BANG LUONG 1'!C43</f>
        <v>Lê Ngọc Đức</v>
      </c>
      <c r="D42" s="263" t="str">
        <f>'BANG LUONG 1'!D43</f>
        <v xml:space="preserve">Công nhân </v>
      </c>
      <c r="E42" s="933">
        <v>1</v>
      </c>
      <c r="F42" s="933">
        <v>1</v>
      </c>
      <c r="G42" s="933">
        <v>1</v>
      </c>
      <c r="H42" s="933">
        <v>1</v>
      </c>
      <c r="I42" s="933">
        <v>1</v>
      </c>
      <c r="J42" s="933">
        <v>1</v>
      </c>
      <c r="K42" s="932"/>
      <c r="L42" s="933" t="s">
        <v>915</v>
      </c>
      <c r="M42" s="933">
        <v>1</v>
      </c>
      <c r="N42" s="933">
        <v>1</v>
      </c>
      <c r="O42" s="933">
        <v>1</v>
      </c>
      <c r="P42" s="933">
        <v>1</v>
      </c>
      <c r="Q42" s="933">
        <v>1</v>
      </c>
      <c r="R42" s="932"/>
      <c r="S42" s="933">
        <v>1</v>
      </c>
      <c r="T42" s="933">
        <v>1</v>
      </c>
      <c r="U42" s="933">
        <v>1</v>
      </c>
      <c r="V42" s="933">
        <v>0</v>
      </c>
      <c r="W42" s="933">
        <v>1</v>
      </c>
      <c r="X42" s="933">
        <v>1</v>
      </c>
      <c r="Y42" s="932"/>
      <c r="Z42" s="933">
        <v>1</v>
      </c>
      <c r="AA42" s="933">
        <v>1</v>
      </c>
      <c r="AB42" s="933">
        <v>1</v>
      </c>
      <c r="AC42" s="933">
        <v>1</v>
      </c>
      <c r="AD42" s="933">
        <v>1</v>
      </c>
      <c r="AE42" s="933">
        <v>1</v>
      </c>
      <c r="AF42" s="932"/>
      <c r="AG42" s="933">
        <v>1</v>
      </c>
      <c r="AH42" s="933">
        <v>1</v>
      </c>
      <c r="AI42" s="933">
        <v>1</v>
      </c>
      <c r="AJ42" s="555">
        <f t="shared" ref="AJ42:AJ43" si="37">SUM(E42:AI42)-AK42</f>
        <v>25</v>
      </c>
      <c r="AK42" s="555">
        <f t="shared" ref="AK42:AK43" si="38">SUMIF($E$4:$AI$4,"LT",E42:AI42)</f>
        <v>0</v>
      </c>
      <c r="AL42" s="555">
        <f t="shared" ref="AL42:AL43" si="39">COUNTIF(E42:AI42,"P")</f>
        <v>0</v>
      </c>
      <c r="AM42" s="555">
        <f t="shared" ref="AM42:AM43" si="40">COUNTIF(E42:AI42,"LT")</f>
        <v>1</v>
      </c>
      <c r="AN42" s="933"/>
      <c r="AO42" s="933"/>
      <c r="AP42" s="933"/>
      <c r="AQ42" s="933"/>
      <c r="AR42" s="933"/>
      <c r="AS42" s="933"/>
      <c r="AT42" s="932">
        <v>8</v>
      </c>
      <c r="AU42" s="933"/>
      <c r="AV42" s="933"/>
      <c r="AW42" s="933"/>
      <c r="AX42" s="933"/>
      <c r="AY42" s="933"/>
      <c r="AZ42" s="933"/>
      <c r="BA42" s="932">
        <v>8</v>
      </c>
      <c r="BB42" s="933"/>
      <c r="BC42" s="933"/>
      <c r="BD42" s="933"/>
      <c r="BE42" s="933"/>
      <c r="BF42" s="933"/>
      <c r="BG42" s="933"/>
      <c r="BH42" s="932"/>
      <c r="BI42" s="933"/>
      <c r="BJ42" s="933"/>
      <c r="BK42" s="933"/>
      <c r="BL42" s="933"/>
      <c r="BM42" s="933"/>
      <c r="BN42" s="933"/>
      <c r="BO42" s="932">
        <v>8</v>
      </c>
      <c r="BP42" s="933"/>
      <c r="BQ42" s="933"/>
      <c r="BR42" s="933"/>
      <c r="BS42" s="528">
        <f t="shared" ref="BS42:BS44" si="41">SUM(AN42:BR42)-BT42</f>
        <v>0</v>
      </c>
      <c r="BT42" s="528">
        <f t="shared" ref="BT42:BT44" si="42">SUMIF($AN$4:$BR$4,"CN",AN42:BR42)</f>
        <v>24</v>
      </c>
      <c r="BU42" s="528">
        <f t="shared" ref="BU42:BU44" si="43">SUMIF($AN$4:$BR$4,"LT",AN42:BR42)</f>
        <v>0</v>
      </c>
      <c r="BV42" s="676"/>
      <c r="BW42" s="676">
        <f t="shared" ref="BW42:BW44" si="44">COUNTIFS(AN42:BR42,"&gt;="&amp;$BW$3,$AN$4:$BR$4,"&lt;&gt;CN")</f>
        <v>0</v>
      </c>
      <c r="BX42" s="793">
        <f>+AJ42*8+BS42+BT42+AK42*8</f>
        <v>224</v>
      </c>
      <c r="BY42" s="796"/>
      <c r="BZ42" s="634">
        <f t="shared" si="36"/>
        <v>13440</v>
      </c>
      <c r="CA42" s="789"/>
      <c r="CB42" s="789"/>
    </row>
    <row r="43" spans="1:80" ht="21" customHeight="1" x14ac:dyDescent="0.25">
      <c r="A43" s="675"/>
      <c r="B43" s="263" t="str">
        <f>'BANG LUONG 1'!B44</f>
        <v>NV41</v>
      </c>
      <c r="C43" s="263" t="str">
        <f>'BANG LUONG 1'!C44</f>
        <v>Bùi Văn Ây</v>
      </c>
      <c r="D43" s="263" t="str">
        <f>'BANG LUONG 1'!D44</f>
        <v xml:space="preserve">Công nhân </v>
      </c>
      <c r="E43" s="933">
        <v>1</v>
      </c>
      <c r="F43" s="933">
        <v>1</v>
      </c>
      <c r="G43" s="933">
        <v>1</v>
      </c>
      <c r="H43" s="933">
        <v>1</v>
      </c>
      <c r="I43" s="933">
        <v>1</v>
      </c>
      <c r="J43" s="933">
        <v>1</v>
      </c>
      <c r="K43" s="932"/>
      <c r="L43" s="933" t="s">
        <v>915</v>
      </c>
      <c r="M43" s="933">
        <v>1</v>
      </c>
      <c r="N43" s="933">
        <v>1</v>
      </c>
      <c r="O43" s="933">
        <v>1</v>
      </c>
      <c r="P43" s="933">
        <v>1</v>
      </c>
      <c r="Q43" s="933">
        <v>1</v>
      </c>
      <c r="R43" s="932"/>
      <c r="S43" s="933">
        <v>1</v>
      </c>
      <c r="T43" s="933">
        <v>1</v>
      </c>
      <c r="U43" s="933">
        <v>1</v>
      </c>
      <c r="V43" s="933">
        <v>1</v>
      </c>
      <c r="W43" s="933">
        <v>1</v>
      </c>
      <c r="X43" s="933">
        <v>1</v>
      </c>
      <c r="Y43" s="932"/>
      <c r="Z43" s="933">
        <v>1</v>
      </c>
      <c r="AA43" s="933">
        <v>1</v>
      </c>
      <c r="AB43" s="933">
        <v>1</v>
      </c>
      <c r="AC43" s="933">
        <v>1</v>
      </c>
      <c r="AD43" s="933">
        <v>1</v>
      </c>
      <c r="AE43" s="933">
        <v>1</v>
      </c>
      <c r="AF43" s="932"/>
      <c r="AG43" s="933">
        <v>1</v>
      </c>
      <c r="AH43" s="933">
        <v>1</v>
      </c>
      <c r="AI43" s="933">
        <v>1</v>
      </c>
      <c r="AJ43" s="555">
        <f t="shared" si="37"/>
        <v>26</v>
      </c>
      <c r="AK43" s="555">
        <f t="shared" si="38"/>
        <v>0</v>
      </c>
      <c r="AL43" s="555">
        <f t="shared" si="39"/>
        <v>0</v>
      </c>
      <c r="AM43" s="555">
        <f t="shared" si="40"/>
        <v>1</v>
      </c>
      <c r="AN43" s="933"/>
      <c r="AO43" s="933"/>
      <c r="AP43" s="933"/>
      <c r="AQ43" s="933"/>
      <c r="AR43" s="933"/>
      <c r="AS43" s="933"/>
      <c r="AT43" s="932">
        <v>8</v>
      </c>
      <c r="AU43" s="933"/>
      <c r="AV43" s="933"/>
      <c r="AW43" s="933"/>
      <c r="AX43" s="933"/>
      <c r="AY43" s="933"/>
      <c r="AZ43" s="933"/>
      <c r="BA43" s="932">
        <v>8</v>
      </c>
      <c r="BB43" s="933"/>
      <c r="BC43" s="933"/>
      <c r="BD43" s="933"/>
      <c r="BE43" s="933"/>
      <c r="BF43" s="933"/>
      <c r="BG43" s="933"/>
      <c r="BH43" s="932">
        <v>8</v>
      </c>
      <c r="BI43" s="933"/>
      <c r="BJ43" s="933"/>
      <c r="BK43" s="933"/>
      <c r="BL43" s="933"/>
      <c r="BM43" s="933"/>
      <c r="BN43" s="933"/>
      <c r="BO43" s="932">
        <v>8</v>
      </c>
      <c r="BP43" s="933"/>
      <c r="BQ43" s="933"/>
      <c r="BR43" s="933"/>
      <c r="BS43" s="528">
        <f t="shared" si="41"/>
        <v>0</v>
      </c>
      <c r="BT43" s="528">
        <f t="shared" si="42"/>
        <v>32</v>
      </c>
      <c r="BU43" s="528">
        <f t="shared" si="43"/>
        <v>0</v>
      </c>
      <c r="BV43" s="676"/>
      <c r="BW43" s="676">
        <f t="shared" si="44"/>
        <v>0</v>
      </c>
      <c r="BX43" s="793">
        <f t="shared" si="30"/>
        <v>240</v>
      </c>
      <c r="BY43" s="796"/>
      <c r="BZ43" s="634">
        <f t="shared" si="36"/>
        <v>14400</v>
      </c>
      <c r="CA43" s="789"/>
      <c r="CB43" s="789"/>
    </row>
    <row r="44" spans="1:80" ht="21" customHeight="1" x14ac:dyDescent="0.25">
      <c r="A44" s="675"/>
      <c r="B44" s="263" t="str">
        <f>'BANG LUONG 1'!B45</f>
        <v>NV45</v>
      </c>
      <c r="C44" s="263" t="str">
        <f>'BANG LUONG 1'!C45</f>
        <v>Đặng Hải Bằng</v>
      </c>
      <c r="D44" s="263" t="str">
        <f>'BANG LUONG 1'!D45</f>
        <v xml:space="preserve">Công nhân </v>
      </c>
      <c r="E44" s="933">
        <v>1</v>
      </c>
      <c r="F44" s="933">
        <v>1</v>
      </c>
      <c r="G44" s="933">
        <v>1</v>
      </c>
      <c r="H44" s="933">
        <v>1</v>
      </c>
      <c r="I44" s="933">
        <v>1</v>
      </c>
      <c r="J44" s="933">
        <v>1</v>
      </c>
      <c r="K44" s="932"/>
      <c r="L44" s="933" t="s">
        <v>915</v>
      </c>
      <c r="M44" s="933">
        <v>1</v>
      </c>
      <c r="N44" s="933">
        <v>1</v>
      </c>
      <c r="O44" s="933">
        <v>1</v>
      </c>
      <c r="P44" s="933">
        <v>1</v>
      </c>
      <c r="Q44" s="933">
        <v>1</v>
      </c>
      <c r="R44" s="932"/>
      <c r="S44" s="933">
        <v>1</v>
      </c>
      <c r="T44" s="933">
        <v>1</v>
      </c>
      <c r="U44" s="933">
        <v>1</v>
      </c>
      <c r="V44" s="933">
        <v>1</v>
      </c>
      <c r="W44" s="933">
        <v>1</v>
      </c>
      <c r="X44" s="933">
        <v>1</v>
      </c>
      <c r="Y44" s="932"/>
      <c r="Z44" s="933">
        <v>1</v>
      </c>
      <c r="AA44" s="933">
        <v>1</v>
      </c>
      <c r="AB44" s="933">
        <v>1</v>
      </c>
      <c r="AC44" s="933">
        <v>1</v>
      </c>
      <c r="AD44" s="933">
        <v>1</v>
      </c>
      <c r="AE44" s="933">
        <v>1</v>
      </c>
      <c r="AF44" s="932"/>
      <c r="AG44" s="933">
        <v>1</v>
      </c>
      <c r="AH44" s="933">
        <v>1</v>
      </c>
      <c r="AI44" s="933">
        <v>1</v>
      </c>
      <c r="AJ44" s="555">
        <f t="shared" ref="AJ44" si="45">SUM(E44:AI44)-AK44</f>
        <v>26</v>
      </c>
      <c r="AK44" s="555">
        <f t="shared" ref="AK44" si="46">SUMIF($E$4:$AI$4,"LT",E44:AI44)</f>
        <v>0</v>
      </c>
      <c r="AL44" s="555">
        <f t="shared" ref="AL44" si="47">COUNTIF(E44:AI44,"P")</f>
        <v>0</v>
      </c>
      <c r="AM44" s="555">
        <f t="shared" ref="AM44" si="48">COUNTIF(E44:AI44,"LT")</f>
        <v>1</v>
      </c>
      <c r="AN44" s="933"/>
      <c r="AO44" s="933"/>
      <c r="AP44" s="933"/>
      <c r="AQ44" s="933"/>
      <c r="AR44" s="933"/>
      <c r="AS44" s="933"/>
      <c r="AT44" s="932"/>
      <c r="AU44" s="933"/>
      <c r="AV44" s="933"/>
      <c r="AW44" s="933"/>
      <c r="AX44" s="933"/>
      <c r="AY44" s="933"/>
      <c r="AZ44" s="933"/>
      <c r="BA44" s="932"/>
      <c r="BB44" s="933"/>
      <c r="BC44" s="933"/>
      <c r="BD44" s="933"/>
      <c r="BE44" s="933"/>
      <c r="BF44" s="933"/>
      <c r="BG44" s="933"/>
      <c r="BH44" s="932"/>
      <c r="BI44" s="933"/>
      <c r="BJ44" s="933"/>
      <c r="BK44" s="933"/>
      <c r="BL44" s="933"/>
      <c r="BM44" s="933"/>
      <c r="BN44" s="933"/>
      <c r="BO44" s="932"/>
      <c r="BP44" s="933"/>
      <c r="BQ44" s="933"/>
      <c r="BR44" s="933"/>
      <c r="BS44" s="528">
        <f t="shared" si="41"/>
        <v>0</v>
      </c>
      <c r="BT44" s="528">
        <f t="shared" si="42"/>
        <v>0</v>
      </c>
      <c r="BU44" s="528">
        <f t="shared" si="43"/>
        <v>0</v>
      </c>
      <c r="BV44" s="676"/>
      <c r="BW44" s="676">
        <f t="shared" si="44"/>
        <v>0</v>
      </c>
      <c r="BX44" s="793">
        <f t="shared" si="30"/>
        <v>208</v>
      </c>
      <c r="BY44" s="796"/>
      <c r="BZ44" s="634">
        <f t="shared" si="36"/>
        <v>12480</v>
      </c>
      <c r="CA44" s="789"/>
      <c r="CB44" s="789"/>
    </row>
    <row r="45" spans="1:80" ht="21" customHeight="1" x14ac:dyDescent="0.25">
      <c r="A45" s="675"/>
      <c r="B45" s="263" t="str">
        <f>'BANG LUONG 1'!B46</f>
        <v>NV49</v>
      </c>
      <c r="C45" s="263" t="str">
        <f>'BANG LUONG 1'!C46</f>
        <v>Nguyễn Đình Tâm</v>
      </c>
      <c r="D45" s="263" t="str">
        <f>'BANG LUONG 1'!D46</f>
        <v xml:space="preserve">Công nhân </v>
      </c>
      <c r="E45" s="933">
        <v>1</v>
      </c>
      <c r="F45" s="933">
        <v>1</v>
      </c>
      <c r="G45" s="933">
        <v>1</v>
      </c>
      <c r="H45" s="933">
        <v>1</v>
      </c>
      <c r="I45" s="933">
        <v>1</v>
      </c>
      <c r="J45" s="933">
        <v>1</v>
      </c>
      <c r="K45" s="932"/>
      <c r="L45" s="933" t="s">
        <v>915</v>
      </c>
      <c r="M45" s="933">
        <v>1</v>
      </c>
      <c r="N45" s="933">
        <v>1</v>
      </c>
      <c r="O45" s="933">
        <v>1</v>
      </c>
      <c r="P45" s="933">
        <v>1</v>
      </c>
      <c r="Q45" s="933">
        <v>1</v>
      </c>
      <c r="R45" s="932"/>
      <c r="S45" s="933">
        <v>1</v>
      </c>
      <c r="T45" s="933">
        <v>1</v>
      </c>
      <c r="U45" s="933">
        <v>1</v>
      </c>
      <c r="V45" s="933">
        <v>1</v>
      </c>
      <c r="W45" s="933">
        <v>1</v>
      </c>
      <c r="X45" s="933">
        <v>1</v>
      </c>
      <c r="Y45" s="932"/>
      <c r="Z45" s="933">
        <v>1</v>
      </c>
      <c r="AA45" s="933">
        <v>1</v>
      </c>
      <c r="AB45" s="933">
        <v>1</v>
      </c>
      <c r="AC45" s="933">
        <v>1</v>
      </c>
      <c r="AD45" s="933">
        <v>1</v>
      </c>
      <c r="AE45" s="933">
        <v>1</v>
      </c>
      <c r="AF45" s="932"/>
      <c r="AG45" s="933">
        <v>1</v>
      </c>
      <c r="AH45" s="933">
        <v>1</v>
      </c>
      <c r="AI45" s="933">
        <v>1</v>
      </c>
      <c r="AJ45" s="555">
        <f t="shared" ref="AJ45" si="49">SUM(E45:AI45)-AK45</f>
        <v>26</v>
      </c>
      <c r="AK45" s="555">
        <f t="shared" ref="AK45" si="50">SUMIF($E$4:$AI$4,"LT",E45:AI45)</f>
        <v>0</v>
      </c>
      <c r="AL45" s="555">
        <f t="shared" ref="AL45" si="51">COUNTIF(E45:AI45,"P")</f>
        <v>0</v>
      </c>
      <c r="AM45" s="555">
        <f t="shared" ref="AM45" si="52">COUNTIF(E45:AI45,"LT")</f>
        <v>1</v>
      </c>
      <c r="AN45" s="933"/>
      <c r="AO45" s="933"/>
      <c r="AP45" s="933"/>
      <c r="AQ45" s="933"/>
      <c r="AR45" s="933"/>
      <c r="AS45" s="933"/>
      <c r="AT45" s="932">
        <v>8</v>
      </c>
      <c r="AU45" s="933"/>
      <c r="AV45" s="933"/>
      <c r="AW45" s="933"/>
      <c r="AX45" s="933"/>
      <c r="AY45" s="933"/>
      <c r="AZ45" s="933"/>
      <c r="BA45" s="932"/>
      <c r="BB45" s="933"/>
      <c r="BC45" s="933"/>
      <c r="BD45" s="933"/>
      <c r="BE45" s="933"/>
      <c r="BF45" s="933"/>
      <c r="BG45" s="933"/>
      <c r="BH45" s="932">
        <v>8</v>
      </c>
      <c r="BI45" s="933"/>
      <c r="BJ45" s="933"/>
      <c r="BK45" s="933"/>
      <c r="BL45" s="933"/>
      <c r="BM45" s="933"/>
      <c r="BN45" s="933"/>
      <c r="BO45" s="932">
        <v>8</v>
      </c>
      <c r="BP45" s="933"/>
      <c r="BQ45" s="933"/>
      <c r="BR45" s="933"/>
      <c r="BS45" s="528">
        <f t="shared" ref="BS45" si="53">SUM(AN45:BR45)-BT45</f>
        <v>0</v>
      </c>
      <c r="BT45" s="528">
        <f t="shared" ref="BT45" si="54">SUMIF($AN$4:$BR$4,"CN",AN45:BR45)</f>
        <v>24</v>
      </c>
      <c r="BU45" s="528">
        <f t="shared" ref="BU45" si="55">SUMIF($AN$4:$BR$4,"LT",AN45:BR45)</f>
        <v>0</v>
      </c>
      <c r="BV45" s="676"/>
      <c r="BW45" s="676"/>
      <c r="BX45" s="793">
        <f t="shared" si="30"/>
        <v>232</v>
      </c>
      <c r="BY45" s="796"/>
      <c r="BZ45" s="634">
        <f t="shared" si="36"/>
        <v>13920</v>
      </c>
      <c r="CA45" s="789"/>
      <c r="CB45" s="789"/>
    </row>
    <row r="46" spans="1:80" ht="21" customHeight="1" x14ac:dyDescent="0.25">
      <c r="A46" s="675"/>
      <c r="B46" s="263" t="str">
        <f>'BANG LUONG 1'!B47</f>
        <v>NV51</v>
      </c>
      <c r="C46" s="263" t="str">
        <f>'BANG LUONG 1'!C47</f>
        <v>Nguyễn Văn Chương</v>
      </c>
      <c r="D46" s="263" t="str">
        <f>'BANG LUONG 1'!D47</f>
        <v xml:space="preserve">Công nhân </v>
      </c>
      <c r="E46" s="933">
        <v>1</v>
      </c>
      <c r="F46" s="933">
        <v>1</v>
      </c>
      <c r="G46" s="933">
        <v>1</v>
      </c>
      <c r="H46" s="933">
        <v>1</v>
      </c>
      <c r="I46" s="933">
        <v>1</v>
      </c>
      <c r="J46" s="933">
        <v>1</v>
      </c>
      <c r="K46" s="932"/>
      <c r="L46" s="933" t="s">
        <v>915</v>
      </c>
      <c r="M46" s="933">
        <v>1</v>
      </c>
      <c r="N46" s="933">
        <v>1</v>
      </c>
      <c r="O46" s="933">
        <v>1</v>
      </c>
      <c r="P46" s="933">
        <v>1</v>
      </c>
      <c r="Q46" s="933">
        <v>1</v>
      </c>
      <c r="R46" s="932"/>
      <c r="S46" s="933">
        <v>1</v>
      </c>
      <c r="T46" s="933">
        <v>1</v>
      </c>
      <c r="U46" s="933">
        <v>1</v>
      </c>
      <c r="V46" s="933">
        <v>1</v>
      </c>
      <c r="W46" s="933">
        <v>1</v>
      </c>
      <c r="X46" s="933">
        <v>1</v>
      </c>
      <c r="Y46" s="932"/>
      <c r="Z46" s="933">
        <v>1</v>
      </c>
      <c r="AA46" s="933">
        <v>1</v>
      </c>
      <c r="AB46" s="933">
        <v>1</v>
      </c>
      <c r="AC46" s="933">
        <v>1</v>
      </c>
      <c r="AD46" s="933">
        <v>1</v>
      </c>
      <c r="AE46" s="933">
        <v>1</v>
      </c>
      <c r="AF46" s="932"/>
      <c r="AG46" s="933">
        <v>1</v>
      </c>
      <c r="AH46" s="933">
        <v>1</v>
      </c>
      <c r="AI46" s="933">
        <v>1</v>
      </c>
      <c r="AJ46" s="555">
        <f t="shared" ref="AJ46" si="56">SUM(E46:AI46)-AK46</f>
        <v>26</v>
      </c>
      <c r="AK46" s="555">
        <f t="shared" ref="AK46" si="57">SUMIF($E$4:$AI$4,"LT",E46:AI46)</f>
        <v>0</v>
      </c>
      <c r="AL46" s="555">
        <f t="shared" ref="AL46" si="58">COUNTIF(E46:AI46,"P")</f>
        <v>0</v>
      </c>
      <c r="AM46" s="555">
        <f t="shared" ref="AM46" si="59">COUNTIF(E46:AI46,"LT")</f>
        <v>1</v>
      </c>
      <c r="AN46" s="933"/>
      <c r="AO46" s="933"/>
      <c r="AP46" s="933"/>
      <c r="AQ46" s="933"/>
      <c r="AR46" s="933"/>
      <c r="AS46" s="933"/>
      <c r="AT46" s="932">
        <v>8</v>
      </c>
      <c r="AU46" s="933"/>
      <c r="AV46" s="933"/>
      <c r="AW46" s="933"/>
      <c r="AX46" s="933"/>
      <c r="AY46" s="933"/>
      <c r="AZ46" s="933"/>
      <c r="BA46" s="932"/>
      <c r="BB46" s="933"/>
      <c r="BC46" s="933"/>
      <c r="BD46" s="933"/>
      <c r="BE46" s="933"/>
      <c r="BF46" s="933"/>
      <c r="BG46" s="933"/>
      <c r="BH46" s="932">
        <v>8</v>
      </c>
      <c r="BI46" s="933"/>
      <c r="BJ46" s="933"/>
      <c r="BK46" s="933"/>
      <c r="BL46" s="933"/>
      <c r="BM46" s="933"/>
      <c r="BN46" s="933"/>
      <c r="BO46" s="932">
        <v>8</v>
      </c>
      <c r="BP46" s="933"/>
      <c r="BQ46" s="933"/>
      <c r="BR46" s="933"/>
      <c r="BS46" s="528">
        <f t="shared" ref="BS46" si="60">SUM(AN46:BR46)-BT46</f>
        <v>0</v>
      </c>
      <c r="BT46" s="528">
        <f t="shared" ref="BT46" si="61">SUMIF($AN$4:$BR$4,"CN",AN46:BR46)</f>
        <v>24</v>
      </c>
      <c r="BU46" s="528">
        <f t="shared" ref="BU46" si="62">SUMIF($AN$4:$BR$4,"LT",AN46:BR46)</f>
        <v>0</v>
      </c>
      <c r="BV46" s="676"/>
      <c r="BW46" s="676"/>
      <c r="BX46" s="793">
        <f t="shared" si="30"/>
        <v>232</v>
      </c>
      <c r="BY46" s="796"/>
      <c r="BZ46" s="634">
        <f t="shared" si="36"/>
        <v>13920</v>
      </c>
      <c r="CA46" s="789"/>
      <c r="CB46" s="789"/>
    </row>
    <row r="47" spans="1:80" s="705" customFormat="1" ht="15" customHeight="1" x14ac:dyDescent="0.25">
      <c r="A47" s="703"/>
      <c r="B47" s="708"/>
      <c r="C47" s="709" t="s">
        <v>739</v>
      </c>
      <c r="D47" s="708"/>
      <c r="E47" s="708"/>
      <c r="F47" s="708"/>
      <c r="G47" s="708"/>
      <c r="H47" s="708"/>
      <c r="I47" s="708"/>
      <c r="J47" s="708"/>
      <c r="K47" s="708"/>
      <c r="L47" s="708"/>
      <c r="M47" s="708"/>
      <c r="N47" s="708"/>
      <c r="O47" s="708"/>
      <c r="P47" s="708"/>
      <c r="Q47" s="708"/>
      <c r="R47" s="708"/>
      <c r="S47" s="708"/>
      <c r="T47" s="708"/>
      <c r="U47" s="708"/>
      <c r="V47" s="708"/>
      <c r="W47" s="708"/>
      <c r="X47" s="708"/>
      <c r="Y47" s="708"/>
      <c r="Z47" s="708"/>
      <c r="AA47" s="708"/>
      <c r="AB47" s="708"/>
      <c r="AC47" s="708"/>
      <c r="AD47" s="708"/>
      <c r="AE47" s="708"/>
      <c r="AF47" s="708"/>
      <c r="AG47" s="708"/>
      <c r="AH47" s="708"/>
      <c r="AI47" s="708"/>
      <c r="AJ47" s="708"/>
      <c r="AK47" s="708"/>
      <c r="AL47" s="708"/>
      <c r="AM47" s="708"/>
      <c r="AN47" s="934"/>
      <c r="AO47" s="934"/>
      <c r="AP47" s="934"/>
      <c r="AQ47" s="934"/>
      <c r="AR47" s="934"/>
      <c r="AS47" s="934"/>
      <c r="AT47" s="932"/>
      <c r="AU47" s="934"/>
      <c r="AV47" s="934"/>
      <c r="AW47" s="934"/>
      <c r="AX47" s="934"/>
      <c r="AY47" s="934"/>
      <c r="AZ47" s="934"/>
      <c r="BA47" s="932"/>
      <c r="BB47" s="934"/>
      <c r="BC47" s="934"/>
      <c r="BD47" s="934"/>
      <c r="BE47" s="934"/>
      <c r="BF47" s="934"/>
      <c r="BG47" s="934"/>
      <c r="BH47" s="932"/>
      <c r="BI47" s="934"/>
      <c r="BJ47" s="934"/>
      <c r="BK47" s="934"/>
      <c r="BL47" s="934"/>
      <c r="BM47" s="934"/>
      <c r="BN47" s="934"/>
      <c r="BO47" s="932"/>
      <c r="BP47" s="934"/>
      <c r="BQ47" s="934"/>
      <c r="BR47" s="934"/>
      <c r="BS47" s="708"/>
      <c r="BT47" s="708"/>
      <c r="BU47" s="708"/>
      <c r="BV47" s="708"/>
      <c r="BW47" s="708"/>
      <c r="BX47" s="793">
        <f t="shared" si="30"/>
        <v>0</v>
      </c>
      <c r="BY47" s="796"/>
      <c r="BZ47" s="634"/>
    </row>
    <row r="48" spans="1:80" s="649" customFormat="1" ht="21" customHeight="1" x14ac:dyDescent="0.25">
      <c r="A48" s="675">
        <f>'BANG LUONG 1'!A49</f>
        <v>40</v>
      </c>
      <c r="B48" s="263" t="str">
        <f>'BANG LUONG 1'!B49</f>
        <v>NV42</v>
      </c>
      <c r="C48" s="263" t="str">
        <f>'[1]BANG LUONG 1'!C8</f>
        <v>Ngô Đình Chung</v>
      </c>
      <c r="D48" s="263" t="str">
        <f>'[1]BANG LUONG 1'!D8</f>
        <v>TB ATLĐ</v>
      </c>
      <c r="E48" s="933">
        <v>0</v>
      </c>
      <c r="F48" s="933">
        <v>1</v>
      </c>
      <c r="G48" s="933">
        <v>1</v>
      </c>
      <c r="H48" s="933">
        <v>1</v>
      </c>
      <c r="I48" s="933">
        <v>1</v>
      </c>
      <c r="J48" s="933">
        <v>1</v>
      </c>
      <c r="K48" s="932"/>
      <c r="L48" s="933" t="s">
        <v>915</v>
      </c>
      <c r="M48" s="933">
        <v>1</v>
      </c>
      <c r="N48" s="933">
        <v>1</v>
      </c>
      <c r="O48" s="933">
        <v>1</v>
      </c>
      <c r="P48" s="933">
        <v>1</v>
      </c>
      <c r="Q48" s="933">
        <v>1</v>
      </c>
      <c r="R48" s="932"/>
      <c r="S48" s="933">
        <v>1</v>
      </c>
      <c r="T48" s="933">
        <v>1</v>
      </c>
      <c r="U48" s="933">
        <v>1</v>
      </c>
      <c r="V48" s="933">
        <v>1</v>
      </c>
      <c r="W48" s="933">
        <v>1</v>
      </c>
      <c r="X48" s="933">
        <v>1</v>
      </c>
      <c r="Y48" s="932"/>
      <c r="Z48" s="933">
        <v>0</v>
      </c>
      <c r="AA48" s="933">
        <v>1</v>
      </c>
      <c r="AB48" s="933">
        <v>1</v>
      </c>
      <c r="AC48" s="933">
        <v>1</v>
      </c>
      <c r="AD48" s="933">
        <v>1</v>
      </c>
      <c r="AE48" s="933">
        <v>1</v>
      </c>
      <c r="AF48" s="932"/>
      <c r="AG48" s="933">
        <v>1</v>
      </c>
      <c r="AH48" s="933">
        <v>1</v>
      </c>
      <c r="AI48" s="933">
        <v>0</v>
      </c>
      <c r="AJ48" s="555">
        <f>SUM(E48:AI48)-AK48</f>
        <v>23</v>
      </c>
      <c r="AK48" s="555">
        <f>SUMIF($E$4:$AI$4,"LT",E48:AI48)</f>
        <v>0</v>
      </c>
      <c r="AL48" s="555">
        <f>COUNTIF(E48:AI48,"P")</f>
        <v>0</v>
      </c>
      <c r="AM48" s="555">
        <f>COUNTIF(E48:AI48,"LT")</f>
        <v>1</v>
      </c>
      <c r="AN48" s="933"/>
      <c r="AO48" s="933"/>
      <c r="AP48" s="933"/>
      <c r="AQ48" s="933"/>
      <c r="AR48" s="933"/>
      <c r="AS48" s="933"/>
      <c r="AT48" s="932"/>
      <c r="AU48" s="933"/>
      <c r="AV48" s="933"/>
      <c r="AW48" s="933"/>
      <c r="AX48" s="933"/>
      <c r="AY48" s="933"/>
      <c r="AZ48" s="933"/>
      <c r="BA48" s="932"/>
      <c r="BB48" s="933"/>
      <c r="BC48" s="933"/>
      <c r="BD48" s="933"/>
      <c r="BE48" s="933"/>
      <c r="BF48" s="933"/>
      <c r="BG48" s="933"/>
      <c r="BH48" s="932"/>
      <c r="BI48" s="933"/>
      <c r="BJ48" s="933"/>
      <c r="BK48" s="933"/>
      <c r="BL48" s="933"/>
      <c r="BM48" s="933"/>
      <c r="BN48" s="933"/>
      <c r="BO48" s="932"/>
      <c r="BP48" s="933"/>
      <c r="BQ48" s="933"/>
      <c r="BR48" s="933"/>
      <c r="BS48" s="528">
        <f>SUM(AN48:BR48)-BT48</f>
        <v>0</v>
      </c>
      <c r="BT48" s="528">
        <f>SUMIF($AN$4:$BR$4,"CN",AN48:BR48)</f>
        <v>0</v>
      </c>
      <c r="BU48" s="528">
        <f>SUMIF($AN$4:$BR$4,"LT",AN48:BR48)</f>
        <v>0</v>
      </c>
      <c r="BV48" s="676"/>
      <c r="BW48" s="676">
        <f>COUNTIFS(AN48:BR48,"&gt;="&amp;$BW$3,$AN$4:$BR$4,"&lt;&gt;CN")</f>
        <v>0</v>
      </c>
      <c r="BX48" s="793">
        <f>+AJ48*8+BS48+BT48+AK48*8</f>
        <v>184</v>
      </c>
      <c r="BY48" s="796"/>
      <c r="BZ48" s="634"/>
      <c r="CA48" s="796"/>
    </row>
    <row r="49" spans="1:78" ht="21" customHeight="1" x14ac:dyDescent="0.25">
      <c r="A49" s="675">
        <f>'BANG LUONG 1'!A50</f>
        <v>41</v>
      </c>
      <c r="B49" s="263" t="str">
        <f>'BANG LUONG 1'!B50</f>
        <v>NV43</v>
      </c>
      <c r="C49" s="263" t="str">
        <f>'BANG LUONG 1'!C50</f>
        <v>Triệu Minh Tuấn</v>
      </c>
      <c r="D49" s="263" t="str">
        <f>'BANG LUONG 1'!D50</f>
        <v xml:space="preserve">Công nhân </v>
      </c>
      <c r="E49" s="933">
        <v>1</v>
      </c>
      <c r="F49" s="933">
        <v>1</v>
      </c>
      <c r="G49" s="933">
        <v>1</v>
      </c>
      <c r="H49" s="933">
        <v>1</v>
      </c>
      <c r="I49" s="933">
        <v>1</v>
      </c>
      <c r="J49" s="933">
        <v>1</v>
      </c>
      <c r="K49" s="932"/>
      <c r="L49" s="933" t="s">
        <v>915</v>
      </c>
      <c r="M49" s="933" t="s">
        <v>506</v>
      </c>
      <c r="N49" s="933" t="s">
        <v>506</v>
      </c>
      <c r="O49" s="933">
        <v>1</v>
      </c>
      <c r="P49" s="933">
        <v>1</v>
      </c>
      <c r="Q49" s="933">
        <v>1</v>
      </c>
      <c r="R49" s="932"/>
      <c r="S49" s="933">
        <v>1</v>
      </c>
      <c r="T49" s="933">
        <v>1</v>
      </c>
      <c r="U49" s="933">
        <v>1</v>
      </c>
      <c r="V49" s="933">
        <v>1</v>
      </c>
      <c r="W49" s="933">
        <v>1</v>
      </c>
      <c r="X49" s="933">
        <v>1</v>
      </c>
      <c r="Y49" s="932"/>
      <c r="Z49" s="933">
        <v>1</v>
      </c>
      <c r="AA49" s="933">
        <v>1</v>
      </c>
      <c r="AB49" s="933">
        <v>1</v>
      </c>
      <c r="AC49" s="933">
        <v>1</v>
      </c>
      <c r="AD49" s="933">
        <v>1</v>
      </c>
      <c r="AE49" s="933">
        <v>1</v>
      </c>
      <c r="AF49" s="932"/>
      <c r="AG49" s="933">
        <v>1</v>
      </c>
      <c r="AH49" s="933">
        <v>1</v>
      </c>
      <c r="AI49" s="933">
        <v>1</v>
      </c>
      <c r="AJ49" s="555">
        <f>SUM(E49:AI49)-AK49</f>
        <v>24</v>
      </c>
      <c r="AK49" s="555">
        <f>SUMIF($E$4:$AI$4,"LT",E49:AI49)</f>
        <v>0</v>
      </c>
      <c r="AL49" s="555">
        <f>COUNTIF(E49:AI49,"P")</f>
        <v>2</v>
      </c>
      <c r="AM49" s="555">
        <f>COUNTIF(E49:AI49,"LT")</f>
        <v>1</v>
      </c>
      <c r="AN49" s="933"/>
      <c r="AO49" s="933"/>
      <c r="AP49" s="933"/>
      <c r="AQ49" s="933"/>
      <c r="AR49" s="933"/>
      <c r="AS49" s="933"/>
      <c r="AT49" s="932"/>
      <c r="AU49" s="933"/>
      <c r="AV49" s="933"/>
      <c r="AW49" s="933"/>
      <c r="AX49" s="933"/>
      <c r="AY49" s="933"/>
      <c r="AZ49" s="933"/>
      <c r="BA49" s="932">
        <v>4</v>
      </c>
      <c r="BB49" s="933"/>
      <c r="BC49" s="933"/>
      <c r="BD49" s="933"/>
      <c r="BE49" s="933"/>
      <c r="BF49" s="933"/>
      <c r="BG49" s="933"/>
      <c r="BH49" s="932">
        <v>8</v>
      </c>
      <c r="BI49" s="933"/>
      <c r="BJ49" s="933"/>
      <c r="BK49" s="933"/>
      <c r="BL49" s="933"/>
      <c r="BM49" s="933"/>
      <c r="BN49" s="933"/>
      <c r="BO49" s="932">
        <v>4</v>
      </c>
      <c r="BP49" s="933"/>
      <c r="BQ49" s="933"/>
      <c r="BR49" s="933"/>
      <c r="BS49" s="528">
        <f>SUM(AN49:BR49)-BT49</f>
        <v>0</v>
      </c>
      <c r="BT49" s="528">
        <f>SUMIF($AN$4:$BR$4,"CN",AN49:BR49)</f>
        <v>16</v>
      </c>
      <c r="BU49" s="528">
        <f>SUMIF($AN$4:$BR$4,"LT",AN49:BR49)</f>
        <v>0</v>
      </c>
      <c r="BV49" s="676"/>
      <c r="BW49" s="676">
        <f>COUNTIFS(AN49:BR49,"&gt;="&amp;$BW$3,$AN$4:$BR$4,"&lt;&gt;CN")</f>
        <v>0</v>
      </c>
      <c r="BX49" s="793">
        <f t="shared" si="30"/>
        <v>208</v>
      </c>
      <c r="BY49" s="796"/>
      <c r="BZ49" s="634">
        <f>BX49*60</f>
        <v>12480</v>
      </c>
    </row>
    <row r="50" spans="1:78" ht="21" customHeight="1" x14ac:dyDescent="0.25">
      <c r="A50" s="675">
        <f>'BANG LUONG 1'!A51</f>
        <v>42</v>
      </c>
      <c r="B50" s="263" t="str">
        <f>'BANG LUONG 1'!B51</f>
        <v>NV44</v>
      </c>
      <c r="C50" s="263" t="str">
        <f>'BANG LUONG 1'!C51</f>
        <v>Kim Em</v>
      </c>
      <c r="D50" s="263" t="str">
        <f>'BANG LUONG 1'!D51</f>
        <v xml:space="preserve">Công nhân </v>
      </c>
      <c r="E50" s="933">
        <v>1</v>
      </c>
      <c r="F50" s="933">
        <v>1</v>
      </c>
      <c r="G50" s="933">
        <v>1</v>
      </c>
      <c r="H50" s="933">
        <v>1</v>
      </c>
      <c r="I50" s="933">
        <v>1</v>
      </c>
      <c r="J50" s="933">
        <v>1</v>
      </c>
      <c r="K50" s="932"/>
      <c r="L50" s="942">
        <v>1</v>
      </c>
      <c r="M50" s="933">
        <v>1</v>
      </c>
      <c r="N50" s="933">
        <v>1</v>
      </c>
      <c r="O50" s="933">
        <v>1</v>
      </c>
      <c r="P50" s="933">
        <v>1</v>
      </c>
      <c r="Q50" s="933">
        <v>1</v>
      </c>
      <c r="R50" s="932"/>
      <c r="S50" s="933">
        <v>1</v>
      </c>
      <c r="T50" s="933">
        <v>1</v>
      </c>
      <c r="U50" s="933">
        <v>1</v>
      </c>
      <c r="V50" s="933">
        <v>1</v>
      </c>
      <c r="W50" s="933">
        <v>1</v>
      </c>
      <c r="X50" s="933">
        <v>1</v>
      </c>
      <c r="Y50" s="932"/>
      <c r="Z50" s="933">
        <v>1</v>
      </c>
      <c r="AA50" s="933">
        <v>1</v>
      </c>
      <c r="AB50" s="933">
        <v>1</v>
      </c>
      <c r="AC50" s="933">
        <v>1</v>
      </c>
      <c r="AD50" s="933">
        <v>1</v>
      </c>
      <c r="AE50" s="933">
        <v>1</v>
      </c>
      <c r="AF50" s="932"/>
      <c r="AG50" s="933">
        <v>1</v>
      </c>
      <c r="AH50" s="933">
        <v>1</v>
      </c>
      <c r="AI50" s="933">
        <v>1</v>
      </c>
      <c r="AJ50" s="555">
        <f>SUM(E50:AI50)-AK50</f>
        <v>26</v>
      </c>
      <c r="AK50" s="555">
        <f>SUMIF($E$4:$AI$4,"LT",E50:AI50)</f>
        <v>1</v>
      </c>
      <c r="AL50" s="555">
        <f>COUNTIF(E50:AI50,"P")</f>
        <v>0</v>
      </c>
      <c r="AM50" s="555">
        <f>COUNTIF(E50:AI50,"LT")</f>
        <v>0</v>
      </c>
      <c r="AN50" s="933"/>
      <c r="AO50" s="933"/>
      <c r="AP50" s="933"/>
      <c r="AQ50" s="933"/>
      <c r="AR50" s="933"/>
      <c r="AS50" s="933"/>
      <c r="AT50" s="932"/>
      <c r="AU50" s="933"/>
      <c r="AV50" s="933"/>
      <c r="AW50" s="933"/>
      <c r="AX50" s="933"/>
      <c r="AY50" s="933"/>
      <c r="AZ50" s="933"/>
      <c r="BA50" s="932">
        <v>8</v>
      </c>
      <c r="BB50" s="933"/>
      <c r="BC50" s="933"/>
      <c r="BD50" s="933"/>
      <c r="BE50" s="933"/>
      <c r="BF50" s="933"/>
      <c r="BG50" s="933"/>
      <c r="BH50" s="932">
        <v>8</v>
      </c>
      <c r="BI50" s="933"/>
      <c r="BJ50" s="933"/>
      <c r="BK50" s="933"/>
      <c r="BL50" s="933"/>
      <c r="BM50" s="933"/>
      <c r="BN50" s="933"/>
      <c r="BO50" s="932">
        <v>4</v>
      </c>
      <c r="BP50" s="933"/>
      <c r="BQ50" s="933"/>
      <c r="BR50" s="933"/>
      <c r="BS50" s="528">
        <f>SUM(AN50:BR50)-BT50</f>
        <v>0</v>
      </c>
      <c r="BT50" s="528">
        <f>SUMIF($AN$4:$BR$4,"CN",AN50:BR50)</f>
        <v>20</v>
      </c>
      <c r="BU50" s="528">
        <f>SUMIF($AN$4:$BR$4,"LT",AN50:BR50)</f>
        <v>0</v>
      </c>
      <c r="BV50" s="676"/>
      <c r="BW50" s="676">
        <f>COUNTIFS(AN50:BR50,"&gt;="&amp;$BW$3,$AN$4:$BR$4,"&lt;&gt;CN")</f>
        <v>0</v>
      </c>
      <c r="BX50" s="793">
        <f t="shared" si="30"/>
        <v>236</v>
      </c>
      <c r="BY50" s="796"/>
      <c r="BZ50" s="634">
        <f>BX50*60</f>
        <v>14160</v>
      </c>
    </row>
    <row r="51" spans="1:78" ht="20.25" customHeight="1" x14ac:dyDescent="0.25">
      <c r="A51" s="925"/>
      <c r="B51" s="263" t="str">
        <f>'BANG LUONG 1'!B52</f>
        <v>NV48</v>
      </c>
      <c r="C51" s="263" t="str">
        <f>'BANG LUONG 1'!C52</f>
        <v>Danh Ngòi</v>
      </c>
      <c r="D51" s="263" t="str">
        <f>'BANG LUONG 1'!D52</f>
        <v>Công nhân</v>
      </c>
      <c r="E51" s="933">
        <v>1</v>
      </c>
      <c r="F51" s="933">
        <v>1</v>
      </c>
      <c r="G51" s="933">
        <v>1</v>
      </c>
      <c r="H51" s="933">
        <v>1</v>
      </c>
      <c r="I51" s="933">
        <v>1</v>
      </c>
      <c r="J51" s="933">
        <v>1</v>
      </c>
      <c r="K51" s="932"/>
      <c r="L51" s="942">
        <v>1</v>
      </c>
      <c r="M51" s="933">
        <v>1</v>
      </c>
      <c r="N51" s="933">
        <v>1</v>
      </c>
      <c r="O51" s="933">
        <v>1</v>
      </c>
      <c r="P51" s="933">
        <v>1</v>
      </c>
      <c r="Q51" s="933">
        <v>1</v>
      </c>
      <c r="R51" s="932"/>
      <c r="S51" s="933">
        <v>1</v>
      </c>
      <c r="T51" s="933">
        <v>1</v>
      </c>
      <c r="U51" s="933">
        <v>1</v>
      </c>
      <c r="V51" s="933">
        <v>1</v>
      </c>
      <c r="W51" s="933">
        <v>1</v>
      </c>
      <c r="X51" s="933">
        <v>1</v>
      </c>
      <c r="Y51" s="932"/>
      <c r="Z51" s="933">
        <v>1</v>
      </c>
      <c r="AA51" s="933">
        <v>1</v>
      </c>
      <c r="AB51" s="933">
        <v>1</v>
      </c>
      <c r="AC51" s="933">
        <v>1</v>
      </c>
      <c r="AD51" s="933">
        <v>1</v>
      </c>
      <c r="AE51" s="933">
        <v>1</v>
      </c>
      <c r="AF51" s="932"/>
      <c r="AG51" s="933">
        <v>1</v>
      </c>
      <c r="AH51" s="933">
        <v>1</v>
      </c>
      <c r="AI51" s="933">
        <v>1</v>
      </c>
      <c r="AJ51" s="555">
        <f>SUM(E51:AI51)-AK51</f>
        <v>26</v>
      </c>
      <c r="AK51" s="555">
        <f>SUMIF($E$4:$AI$4,"LT",E51:AI51)</f>
        <v>1</v>
      </c>
      <c r="AL51" s="555">
        <f>COUNTIF(E51:AI51,"P")</f>
        <v>0</v>
      </c>
      <c r="AM51" s="555">
        <f>COUNTIF(E51:AI51,"LT")</f>
        <v>0</v>
      </c>
      <c r="AN51" s="933"/>
      <c r="AO51" s="933"/>
      <c r="AP51" s="933"/>
      <c r="AQ51" s="933"/>
      <c r="AR51" s="933"/>
      <c r="AS51" s="933"/>
      <c r="AT51" s="932">
        <v>8</v>
      </c>
      <c r="AU51" s="933"/>
      <c r="AV51" s="933"/>
      <c r="AW51" s="933"/>
      <c r="AX51" s="933"/>
      <c r="AY51" s="933"/>
      <c r="AZ51" s="933"/>
      <c r="BA51" s="932">
        <v>4</v>
      </c>
      <c r="BB51" s="933"/>
      <c r="BC51" s="933"/>
      <c r="BD51" s="933"/>
      <c r="BE51" s="933"/>
      <c r="BF51" s="933"/>
      <c r="BG51" s="933"/>
      <c r="BH51" s="932">
        <v>8</v>
      </c>
      <c r="BI51" s="933"/>
      <c r="BJ51" s="933"/>
      <c r="BK51" s="933"/>
      <c r="BL51" s="933"/>
      <c r="BM51" s="933"/>
      <c r="BN51" s="933"/>
      <c r="BO51" s="932">
        <v>4</v>
      </c>
      <c r="BP51" s="933"/>
      <c r="BQ51" s="933"/>
      <c r="BR51" s="933"/>
      <c r="BS51" s="528">
        <f>SUM(AN51:BR51)-BT51</f>
        <v>0</v>
      </c>
      <c r="BT51" s="528">
        <f>SUMIF($AN$4:$BR$4,"CN",AN51:BR51)</f>
        <v>24</v>
      </c>
      <c r="BU51" s="528">
        <f>SUMIF($AN$4:$BR$4,"LT",AN51:BR51)</f>
        <v>0</v>
      </c>
      <c r="BV51" s="676"/>
      <c r="BW51" s="676">
        <f>COUNTIFS(AN51:BR51,"&gt;="&amp;$BW$3,$AN$4:$BR$4,"&lt;&gt;CN")</f>
        <v>0</v>
      </c>
      <c r="BX51" s="793">
        <f t="shared" ref="BX51" si="63">+AJ51*8+BS51+BT51+AK51*8</f>
        <v>240</v>
      </c>
      <c r="BY51" s="796"/>
      <c r="BZ51" s="634">
        <f>BX51*60</f>
        <v>14400</v>
      </c>
    </row>
    <row r="52" spans="1:78" ht="20.25" customHeight="1" x14ac:dyDescent="0.25">
      <c r="A52" s="925"/>
      <c r="B52" s="263" t="str">
        <f>'BANG LUONG 1'!B53</f>
        <v>NV50</v>
      </c>
      <c r="C52" s="263" t="str">
        <f>'BANG LUONG 1'!C53</f>
        <v>Phùng Nhật Nam</v>
      </c>
      <c r="D52" s="263" t="str">
        <f>'BANG LUONG 1'!D53</f>
        <v>Công nhân</v>
      </c>
      <c r="E52" s="933">
        <v>1</v>
      </c>
      <c r="F52" s="933">
        <v>1</v>
      </c>
      <c r="G52" s="933">
        <v>1</v>
      </c>
      <c r="H52" s="933">
        <v>1</v>
      </c>
      <c r="I52" s="933">
        <v>1</v>
      </c>
      <c r="J52" s="933">
        <v>1</v>
      </c>
      <c r="K52" s="932"/>
      <c r="L52" s="942">
        <v>1</v>
      </c>
      <c r="M52" s="933">
        <v>1</v>
      </c>
      <c r="N52" s="933">
        <v>1</v>
      </c>
      <c r="O52" s="933">
        <v>1</v>
      </c>
      <c r="P52" s="933">
        <v>0.5</v>
      </c>
      <c r="Q52" s="969"/>
      <c r="R52" s="969"/>
      <c r="S52" s="969"/>
      <c r="T52" s="969"/>
      <c r="U52" s="969"/>
      <c r="V52" s="969"/>
      <c r="W52" s="969"/>
      <c r="X52" s="969"/>
      <c r="Y52" s="969"/>
      <c r="Z52" s="969"/>
      <c r="AA52" s="969"/>
      <c r="AB52" s="969"/>
      <c r="AC52" s="969"/>
      <c r="AD52" s="969"/>
      <c r="AE52" s="969"/>
      <c r="AF52" s="969"/>
      <c r="AG52" s="969"/>
      <c r="AH52" s="969"/>
      <c r="AI52" s="969"/>
      <c r="AJ52" s="555">
        <f>SUM(E52:AI52)-AK52</f>
        <v>9.5</v>
      </c>
      <c r="AK52" s="555">
        <f>SUMIF($E$4:$AI$4,"LT",E52:AI52)</f>
        <v>1</v>
      </c>
      <c r="AL52" s="555">
        <f>COUNTIF(E52:AI52,"P")</f>
        <v>0</v>
      </c>
      <c r="AM52" s="555">
        <f>COUNTIF(E52:AI52,"LT")</f>
        <v>0</v>
      </c>
      <c r="AN52" s="933"/>
      <c r="AO52" s="933"/>
      <c r="AP52" s="933"/>
      <c r="AQ52" s="933"/>
      <c r="AR52" s="933"/>
      <c r="AS52" s="933"/>
      <c r="AT52" s="932"/>
      <c r="AU52" s="933"/>
      <c r="AV52" s="933"/>
      <c r="AW52" s="933"/>
      <c r="AX52" s="933"/>
      <c r="AY52" s="933"/>
      <c r="AZ52" s="933"/>
      <c r="BA52" s="932"/>
      <c r="BB52" s="933"/>
      <c r="BC52" s="933"/>
      <c r="BD52" s="933"/>
      <c r="BE52" s="933"/>
      <c r="BF52" s="933"/>
      <c r="BG52" s="933"/>
      <c r="BH52" s="932"/>
      <c r="BI52" s="933"/>
      <c r="BJ52" s="933"/>
      <c r="BK52" s="933"/>
      <c r="BL52" s="933"/>
      <c r="BM52" s="933"/>
      <c r="BN52" s="933"/>
      <c r="BO52" s="932"/>
      <c r="BP52" s="933"/>
      <c r="BQ52" s="933"/>
      <c r="BR52" s="933"/>
      <c r="BS52" s="528">
        <f>SUM(AN52:BR52)-BT52</f>
        <v>0</v>
      </c>
      <c r="BT52" s="528">
        <f>SUMIF($AN$4:$BR$4,"CN",AN52:BR52)</f>
        <v>0</v>
      </c>
      <c r="BU52" s="528">
        <f>SUMIF($AN$4:$BR$4,"LT",AN52:BR52)</f>
        <v>0</v>
      </c>
      <c r="BV52" s="676"/>
      <c r="BW52" s="676">
        <f>COUNTIFS(AN52:BR52,"&gt;="&amp;$BW$3,$AN$4:$BR$4,"&lt;&gt;CN")</f>
        <v>0</v>
      </c>
      <c r="BX52" s="793">
        <f t="shared" ref="BX52" si="64">+AJ52*8+BS52+BT52+AK52*8</f>
        <v>84</v>
      </c>
      <c r="BY52" s="796"/>
      <c r="BZ52" s="634">
        <f>BX52*60</f>
        <v>5040</v>
      </c>
    </row>
    <row r="53" spans="1:78" s="796" customFormat="1" ht="20.25" customHeight="1" x14ac:dyDescent="0.25">
      <c r="B53" s="875"/>
      <c r="C53" s="875"/>
      <c r="D53" s="875"/>
      <c r="E53" s="935"/>
      <c r="F53" s="936"/>
      <c r="G53" s="936"/>
      <c r="H53" s="936"/>
      <c r="I53" s="936"/>
      <c r="J53" s="936"/>
      <c r="K53" s="936"/>
      <c r="L53" s="935"/>
      <c r="M53" s="936"/>
      <c r="N53" s="936"/>
      <c r="O53" s="936"/>
      <c r="P53" s="936"/>
      <c r="Q53" s="936"/>
      <c r="R53" s="936"/>
      <c r="S53" s="935"/>
      <c r="T53" s="936"/>
      <c r="U53" s="936"/>
      <c r="V53" s="936"/>
      <c r="W53" s="936"/>
      <c r="X53" s="936"/>
      <c r="Y53" s="936"/>
      <c r="Z53" s="935"/>
      <c r="AA53" s="936"/>
      <c r="AB53" s="936"/>
      <c r="AC53" s="936"/>
      <c r="AD53" s="936"/>
      <c r="AE53" s="936"/>
      <c r="AF53" s="936"/>
      <c r="AG53" s="935"/>
      <c r="AH53" s="936"/>
      <c r="AI53" s="936"/>
      <c r="AJ53" s="876"/>
      <c r="AK53" s="876"/>
      <c r="AL53" s="876"/>
      <c r="AM53" s="876"/>
      <c r="AN53" s="935"/>
      <c r="AO53" s="935"/>
      <c r="AP53" s="935"/>
      <c r="AQ53" s="935"/>
      <c r="AR53" s="935"/>
      <c r="AS53" s="935"/>
      <c r="AT53" s="936"/>
      <c r="AU53" s="935"/>
      <c r="AV53" s="935"/>
      <c r="AW53" s="935"/>
      <c r="AX53" s="935"/>
      <c r="AY53" s="935"/>
      <c r="AZ53" s="935"/>
      <c r="BA53" s="936"/>
      <c r="BB53" s="935"/>
      <c r="BC53" s="935"/>
      <c r="BD53" s="935"/>
      <c r="BE53" s="935"/>
      <c r="BF53" s="935"/>
      <c r="BG53" s="935"/>
      <c r="BH53" s="936"/>
      <c r="BI53" s="935"/>
      <c r="BJ53" s="935"/>
      <c r="BK53" s="935"/>
      <c r="BL53" s="935"/>
      <c r="BM53" s="935"/>
      <c r="BN53" s="935"/>
      <c r="BO53" s="936"/>
      <c r="BP53" s="935"/>
      <c r="BQ53" s="935"/>
      <c r="BR53" s="935"/>
      <c r="BS53" s="877"/>
      <c r="BT53" s="877"/>
      <c r="BU53" s="877"/>
      <c r="BV53" s="793"/>
      <c r="BW53" s="793"/>
      <c r="BX53" s="793"/>
    </row>
    <row r="54" spans="1:78" ht="15.75" x14ac:dyDescent="0.25">
      <c r="E54" s="1043" t="s">
        <v>786</v>
      </c>
      <c r="F54" s="1043"/>
      <c r="G54" s="1043"/>
      <c r="H54" s="1043"/>
      <c r="I54" s="1043"/>
      <c r="AC54" s="1043" t="s">
        <v>564</v>
      </c>
      <c r="AD54" s="1043"/>
      <c r="AE54" s="1043"/>
      <c r="AF54" s="1043"/>
      <c r="AG54" s="1043"/>
      <c r="AH54" s="1043"/>
      <c r="AI54" s="927"/>
      <c r="AP54" s="1043" t="s">
        <v>786</v>
      </c>
      <c r="AQ54" s="1043"/>
      <c r="AR54" s="1043"/>
      <c r="AS54" s="1043"/>
      <c r="AT54" s="1043"/>
      <c r="BN54" s="1043" t="s">
        <v>564</v>
      </c>
      <c r="BO54" s="1043"/>
      <c r="BP54" s="1043"/>
      <c r="BQ54" s="1043"/>
      <c r="BR54" s="1043"/>
      <c r="BS54" s="1043"/>
      <c r="BT54" s="1043"/>
      <c r="BU54" s="711"/>
    </row>
    <row r="55" spans="1:78" ht="61.5" customHeight="1" x14ac:dyDescent="0.25">
      <c r="F55" s="938"/>
      <c r="G55" s="927"/>
      <c r="H55" s="927"/>
      <c r="AA55" s="927"/>
      <c r="AB55" s="927"/>
      <c r="AC55" s="1043"/>
      <c r="AD55" s="1043"/>
      <c r="AE55" s="1043"/>
      <c r="AF55" s="1043"/>
      <c r="AG55" s="1043"/>
      <c r="AH55" s="1043"/>
      <c r="AI55" s="927"/>
      <c r="AQ55" s="927"/>
      <c r="AR55" s="927"/>
      <c r="AS55" s="927"/>
      <c r="BL55" s="927"/>
      <c r="BM55" s="927"/>
      <c r="BN55" s="1043"/>
      <c r="BO55" s="1043"/>
      <c r="BP55" s="1043"/>
      <c r="BQ55" s="1043"/>
      <c r="BR55" s="1043"/>
      <c r="BS55" s="1043"/>
      <c r="BT55" s="1043"/>
      <c r="BU55" s="711"/>
    </row>
    <row r="56" spans="1:78" ht="15.75" x14ac:dyDescent="0.25">
      <c r="F56" s="938"/>
      <c r="G56" s="927"/>
      <c r="H56" s="927"/>
      <c r="AA56" s="927"/>
      <c r="AB56" s="927"/>
      <c r="AC56" s="938"/>
      <c r="AD56" s="938"/>
      <c r="AE56" s="927"/>
      <c r="AF56" s="927"/>
      <c r="AG56" s="927"/>
      <c r="AH56" s="927"/>
      <c r="AI56" s="927"/>
      <c r="AQ56" s="927"/>
      <c r="AR56" s="927"/>
      <c r="AS56" s="927"/>
      <c r="BL56" s="927"/>
      <c r="BM56" s="927"/>
      <c r="BN56" s="927"/>
      <c r="BO56" s="927"/>
      <c r="BP56" s="927"/>
      <c r="BQ56" s="940"/>
      <c r="BR56" s="927"/>
      <c r="BS56" s="197"/>
      <c r="BT56" s="197"/>
      <c r="BU56" s="197"/>
    </row>
    <row r="57" spans="1:78" ht="15.75" x14ac:dyDescent="0.25">
      <c r="E57" s="1043"/>
      <c r="F57" s="1043"/>
      <c r="G57" s="1043"/>
      <c r="H57" s="1043"/>
      <c r="I57" s="1043"/>
      <c r="AA57" s="927"/>
      <c r="AB57" s="927"/>
      <c r="AC57" s="1043" t="s">
        <v>765</v>
      </c>
      <c r="AD57" s="1043"/>
      <c r="AE57" s="1043"/>
      <c r="AF57" s="1043"/>
      <c r="AG57" s="1043"/>
      <c r="AH57" s="1043"/>
      <c r="AI57" s="927"/>
      <c r="AP57" s="1043"/>
      <c r="AQ57" s="1043"/>
      <c r="AR57" s="1043"/>
      <c r="AS57" s="1043"/>
      <c r="AT57" s="1043"/>
      <c r="BL57" s="927"/>
      <c r="BM57" s="927"/>
      <c r="BN57" s="1043" t="s">
        <v>765</v>
      </c>
      <c r="BO57" s="1043"/>
      <c r="BP57" s="1043"/>
      <c r="BQ57" s="1043"/>
      <c r="BR57" s="1043"/>
      <c r="BS57" s="1043"/>
      <c r="BT57" s="1043"/>
      <c r="BU57" s="711"/>
    </row>
    <row r="58" spans="1:78" ht="15.75" x14ac:dyDescent="0.25">
      <c r="Z58" s="1043"/>
      <c r="AA58" s="1043"/>
      <c r="AB58" s="1043"/>
      <c r="AC58" s="1043"/>
      <c r="AD58" s="1043"/>
      <c r="AE58" s="1043"/>
      <c r="AF58" s="1043"/>
      <c r="AG58" s="927"/>
      <c r="AH58" s="927"/>
      <c r="AI58" s="927"/>
      <c r="BL58" s="1043"/>
      <c r="BM58" s="1043"/>
      <c r="BN58" s="1043"/>
      <c r="BO58" s="1043"/>
      <c r="BP58" s="1043"/>
      <c r="BQ58" s="1043"/>
      <c r="BR58" s="1043"/>
      <c r="BS58" s="197"/>
      <c r="BT58" s="197"/>
      <c r="BU58" s="197"/>
    </row>
    <row r="59" spans="1:78" ht="15.75" x14ac:dyDescent="0.25">
      <c r="Z59" s="927"/>
      <c r="AA59" s="927"/>
      <c r="AB59" s="927"/>
      <c r="AC59" s="938"/>
      <c r="AD59" s="938"/>
      <c r="AE59" s="927"/>
      <c r="AF59" s="927"/>
      <c r="AG59" s="927"/>
      <c r="AH59" s="927"/>
      <c r="AI59" s="927"/>
      <c r="BL59" s="927"/>
      <c r="BM59" s="927"/>
      <c r="BN59" s="927"/>
      <c r="BO59" s="927"/>
      <c r="BP59" s="927"/>
      <c r="BQ59" s="940"/>
      <c r="BR59" s="927"/>
      <c r="BS59" s="197"/>
      <c r="BT59" s="197"/>
      <c r="BU59" s="197"/>
    </row>
    <row r="60" spans="1:78" ht="15.75" x14ac:dyDescent="0.25">
      <c r="Z60" s="927"/>
      <c r="AA60" s="927"/>
      <c r="AB60" s="1043"/>
      <c r="AC60" s="1043"/>
      <c r="AD60" s="1043"/>
      <c r="AE60" s="1043"/>
      <c r="AF60" s="1043"/>
      <c r="AG60" s="1043"/>
      <c r="AH60" s="1043"/>
      <c r="AI60" s="927"/>
      <c r="BL60" s="927"/>
      <c r="BM60" s="927"/>
      <c r="BN60" s="1043"/>
      <c r="BO60" s="1043"/>
      <c r="BP60" s="1043"/>
      <c r="BQ60" s="1043"/>
      <c r="BR60" s="1043"/>
      <c r="BS60" s="1043"/>
      <c r="BT60" s="1043"/>
      <c r="BU60" s="711"/>
    </row>
  </sheetData>
  <mergeCells count="22">
    <mergeCell ref="A1:AM1"/>
    <mergeCell ref="AN1:BT1"/>
    <mergeCell ref="BN55:BT55"/>
    <mergeCell ref="AJ3:AK3"/>
    <mergeCell ref="AL3:AM3"/>
    <mergeCell ref="AN3:BR3"/>
    <mergeCell ref="BN54:BT54"/>
    <mergeCell ref="AC54:AH54"/>
    <mergeCell ref="AC55:AH55"/>
    <mergeCell ref="AP54:AT54"/>
    <mergeCell ref="BS3:BU3"/>
    <mergeCell ref="BL58:BR58"/>
    <mergeCell ref="BN60:BT60"/>
    <mergeCell ref="Z58:AF58"/>
    <mergeCell ref="AB60:AH60"/>
    <mergeCell ref="BN57:BT57"/>
    <mergeCell ref="AP57:AT57"/>
    <mergeCell ref="BY4:CQ4"/>
    <mergeCell ref="E57:I57"/>
    <mergeCell ref="AC57:AH57"/>
    <mergeCell ref="E3:AH3"/>
    <mergeCell ref="E54:I54"/>
  </mergeCells>
  <pageMargins left="0" right="0" top="1" bottom="0" header="0" footer="0"/>
  <pageSetup paperSize="9" scale="64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tabColor rgb="FFFF0000"/>
    <pageSetUpPr fitToPage="1"/>
  </sheetPr>
  <dimension ref="A1:XCP65"/>
  <sheetViews>
    <sheetView zoomScale="80" zoomScaleNormal="80" workbookViewId="0">
      <pane xSplit="4" ySplit="5" topLeftCell="AD42" activePane="bottomRight" state="frozen"/>
      <selection pane="topRight" activeCell="E1" sqref="E1"/>
      <selection pane="bottomLeft" activeCell="A6" sqref="A6"/>
      <selection pane="bottomRight" activeCell="AM23" sqref="AM23"/>
    </sheetView>
  </sheetViews>
  <sheetFormatPr defaultColWidth="9.140625" defaultRowHeight="14.25" x14ac:dyDescent="0.2"/>
  <cols>
    <col min="1" max="1" width="5.140625" style="218" customWidth="1"/>
    <col min="2" max="2" width="8.140625" style="218" customWidth="1"/>
    <col min="3" max="3" width="19.85546875" style="218" customWidth="1"/>
    <col min="4" max="4" width="11.7109375" style="218" customWidth="1"/>
    <col min="5" max="5" width="13.42578125" style="218" customWidth="1"/>
    <col min="6" max="6" width="8.5703125" style="218" customWidth="1"/>
    <col min="7" max="7" width="8.140625" style="384" customWidth="1"/>
    <col min="8" max="8" width="11.42578125" style="218" customWidth="1"/>
    <col min="9" max="9" width="8.28515625" style="219" customWidth="1"/>
    <col min="10" max="10" width="8.140625" style="219" customWidth="1"/>
    <col min="11" max="11" width="15.140625" style="275" hidden="1" customWidth="1"/>
    <col min="12" max="12" width="11.5703125" style="239" customWidth="1"/>
    <col min="13" max="13" width="6.5703125" style="221" customWidth="1"/>
    <col min="14" max="14" width="11.42578125" style="220" customWidth="1"/>
    <col min="15" max="15" width="7.42578125" style="220" customWidth="1"/>
    <col min="16" max="16" width="11.28515625" style="220" customWidth="1"/>
    <col min="17" max="17" width="7.42578125" style="220" customWidth="1"/>
    <col min="18" max="18" width="7.140625" style="220" hidden="1" customWidth="1"/>
    <col min="19" max="19" width="8.140625" style="220" hidden="1" customWidth="1"/>
    <col min="20" max="20" width="13.7109375" style="220" customWidth="1"/>
    <col min="21" max="21" width="12.85546875" style="239" customWidth="1"/>
    <col min="22" max="22" width="15.140625" style="239" customWidth="1"/>
    <col min="23" max="23" width="13.42578125" style="239" hidden="1" customWidth="1"/>
    <col min="24" max="24" width="13.28515625" style="220" customWidth="1"/>
    <col min="25" max="25" width="11.28515625" style="220" customWidth="1"/>
    <col min="26" max="26" width="15.28515625" style="239" hidden="1" customWidth="1"/>
    <col min="27" max="27" width="14" style="239" customWidth="1"/>
    <col min="28" max="28" width="17" style="239" customWidth="1"/>
    <col min="29" max="29" width="13.7109375" style="220" customWidth="1"/>
    <col min="30" max="30" width="13.140625" style="220" customWidth="1"/>
    <col min="31" max="31" width="15" style="220" customWidth="1"/>
    <col min="32" max="32" width="14.28515625" style="220" customWidth="1"/>
    <col min="33" max="33" width="12.28515625" style="239" customWidth="1"/>
    <col min="34" max="34" width="10.7109375" style="239" customWidth="1"/>
    <col min="35" max="35" width="13" style="220" hidden="1" customWidth="1"/>
    <col min="36" max="36" width="15.42578125" style="220" customWidth="1"/>
    <col min="37" max="37" width="17" style="218" hidden="1" customWidth="1"/>
    <col min="38" max="38" width="15.85546875" style="220" customWidth="1"/>
    <col min="39" max="39" width="15.85546875" style="220" bestFit="1" customWidth="1"/>
    <col min="40" max="40" width="9.140625" style="218"/>
    <col min="41" max="41" width="19.5703125" style="218" customWidth="1"/>
    <col min="42" max="16384" width="9.140625" style="218"/>
  </cols>
  <sheetData>
    <row r="1" spans="1:131 2330:2330" ht="22.5" x14ac:dyDescent="0.3">
      <c r="A1" s="285" t="s">
        <v>536</v>
      </c>
      <c r="P1" s="930" t="s">
        <v>921</v>
      </c>
    </row>
    <row r="2" spans="1:131 2330:2330" x14ac:dyDescent="0.2">
      <c r="A2" s="285" t="s">
        <v>537</v>
      </c>
      <c r="B2" s="281"/>
      <c r="C2" s="281"/>
      <c r="D2" s="281"/>
      <c r="E2" s="281"/>
      <c r="F2" s="303"/>
      <c r="G2" s="468"/>
      <c r="H2" s="281"/>
      <c r="I2" s="469"/>
      <c r="J2" s="470"/>
      <c r="K2" s="531"/>
      <c r="L2" s="471"/>
      <c r="M2" s="472"/>
      <c r="N2" s="719">
        <v>26</v>
      </c>
      <c r="O2" s="468"/>
      <c r="P2" s="468"/>
      <c r="Q2" s="468"/>
      <c r="R2" s="468"/>
      <c r="S2" s="468"/>
      <c r="T2" s="468"/>
      <c r="U2" s="473"/>
      <c r="V2" s="473"/>
      <c r="W2" s="473"/>
      <c r="X2" s="468"/>
      <c r="Y2" s="468"/>
      <c r="Z2" s="473"/>
      <c r="AA2" s="473"/>
      <c r="AB2" s="473"/>
      <c r="AC2" s="468"/>
      <c r="AD2" s="468"/>
      <c r="AE2" s="468"/>
      <c r="AF2" s="468"/>
      <c r="AG2" s="473"/>
      <c r="AH2" s="473"/>
      <c r="AI2" s="468"/>
      <c r="AJ2" s="468"/>
    </row>
    <row r="3" spans="1:131 2330:2330" ht="18" customHeight="1" x14ac:dyDescent="0.2">
      <c r="B3" s="281"/>
      <c r="C3" s="281"/>
      <c r="D3" s="281"/>
      <c r="E3" s="468"/>
      <c r="F3" s="1059"/>
      <c r="G3" s="1059"/>
      <c r="H3" s="1060"/>
      <c r="I3" s="1059"/>
      <c r="J3" s="1059"/>
      <c r="K3" s="1060"/>
      <c r="L3" s="1059"/>
      <c r="M3" s="1059"/>
      <c r="N3" s="1059"/>
      <c r="P3" s="722">
        <v>43733</v>
      </c>
      <c r="Q3" s="468"/>
      <c r="R3" s="468"/>
      <c r="S3" s="468"/>
      <c r="T3" s="468"/>
      <c r="U3" s="473"/>
      <c r="V3" s="473"/>
      <c r="W3" s="473"/>
      <c r="X3" s="468"/>
      <c r="Y3" s="468"/>
      <c r="Z3" s="473"/>
      <c r="AA3" s="473" t="s">
        <v>556</v>
      </c>
      <c r="AB3" s="473"/>
      <c r="AC3" s="477">
        <v>0.105</v>
      </c>
      <c r="AD3" s="477"/>
      <c r="AE3" s="477"/>
      <c r="AF3" s="468"/>
      <c r="AG3" s="473"/>
      <c r="AH3" s="473"/>
      <c r="AI3" s="468"/>
      <c r="AJ3" s="468"/>
    </row>
    <row r="4" spans="1:131 2330:2330" ht="45" hidden="1" customHeight="1" x14ac:dyDescent="0.2">
      <c r="A4" s="281"/>
      <c r="B4" s="281"/>
      <c r="C4" s="281"/>
      <c r="D4" s="281"/>
      <c r="E4" s="281"/>
      <c r="F4" s="281"/>
      <c r="G4" s="478"/>
      <c r="H4" s="479">
        <f>3500000*107%</f>
        <v>3745000</v>
      </c>
      <c r="I4" s="469"/>
      <c r="J4" s="469"/>
      <c r="K4" s="531"/>
      <c r="L4" s="474"/>
      <c r="M4" s="480">
        <v>26</v>
      </c>
      <c r="N4" s="479"/>
      <c r="O4" s="468"/>
      <c r="P4" s="468"/>
      <c r="Q4" s="468"/>
      <c r="R4" s="468"/>
      <c r="S4" s="468"/>
      <c r="T4" s="468"/>
      <c r="U4" s="473"/>
      <c r="V4" s="929">
        <v>1</v>
      </c>
      <c r="W4" s="473"/>
      <c r="X4" s="479">
        <v>300000</v>
      </c>
      <c r="Y4" s="468"/>
      <c r="Z4" s="474"/>
      <c r="AA4" s="473"/>
      <c r="AB4" s="473"/>
      <c r="AC4" s="468"/>
      <c r="AD4" s="468"/>
      <c r="AE4" s="468"/>
      <c r="AF4" s="468"/>
      <c r="AG4" s="473"/>
      <c r="AH4" s="473"/>
      <c r="AI4" s="468"/>
      <c r="AJ4" s="468"/>
    </row>
    <row r="5" spans="1:131 2330:2330" s="228" customFormat="1" ht="103.5" customHeight="1" x14ac:dyDescent="0.2">
      <c r="A5" s="431" t="s">
        <v>0</v>
      </c>
      <c r="B5" s="431" t="s">
        <v>1</v>
      </c>
      <c r="C5" s="431" t="s">
        <v>2</v>
      </c>
      <c r="D5" s="431" t="s">
        <v>3</v>
      </c>
      <c r="E5" s="431" t="s">
        <v>376</v>
      </c>
      <c r="F5" s="431" t="s">
        <v>678</v>
      </c>
      <c r="G5" s="432" t="s">
        <v>679</v>
      </c>
      <c r="H5" s="431" t="s">
        <v>229</v>
      </c>
      <c r="I5" s="431" t="s">
        <v>217</v>
      </c>
      <c r="J5" s="431" t="s">
        <v>230</v>
      </c>
      <c r="K5" s="433" t="s">
        <v>672</v>
      </c>
      <c r="L5" s="434" t="s">
        <v>673</v>
      </c>
      <c r="M5" s="435" t="s">
        <v>354</v>
      </c>
      <c r="N5" s="434" t="s">
        <v>534</v>
      </c>
      <c r="O5" s="434" t="s">
        <v>592</v>
      </c>
      <c r="P5" s="434" t="s">
        <v>357</v>
      </c>
      <c r="Q5" s="434" t="s">
        <v>387</v>
      </c>
      <c r="R5" s="434" t="s">
        <v>593</v>
      </c>
      <c r="S5" s="434" t="s">
        <v>388</v>
      </c>
      <c r="T5" s="434" t="s">
        <v>533</v>
      </c>
      <c r="U5" s="434" t="s">
        <v>535</v>
      </c>
      <c r="V5" s="434" t="s">
        <v>370</v>
      </c>
      <c r="W5" s="434" t="s">
        <v>680</v>
      </c>
      <c r="X5" s="434" t="s">
        <v>371</v>
      </c>
      <c r="Y5" s="434" t="s">
        <v>559</v>
      </c>
      <c r="Z5" s="434" t="s">
        <v>695</v>
      </c>
      <c r="AA5" s="434" t="s">
        <v>681</v>
      </c>
      <c r="AB5" s="434" t="s">
        <v>545</v>
      </c>
      <c r="AC5" s="434" t="s">
        <v>544</v>
      </c>
      <c r="AD5" s="434" t="s">
        <v>696</v>
      </c>
      <c r="AE5" s="434" t="s">
        <v>834</v>
      </c>
      <c r="AF5" s="434" t="s">
        <v>546</v>
      </c>
      <c r="AG5" s="434" t="s">
        <v>920</v>
      </c>
      <c r="AH5" s="434" t="s">
        <v>711</v>
      </c>
      <c r="AI5" s="433" t="s">
        <v>898</v>
      </c>
      <c r="AJ5" s="434" t="s">
        <v>699</v>
      </c>
      <c r="AK5" s="434" t="s">
        <v>699</v>
      </c>
      <c r="AL5" s="980"/>
      <c r="AM5" s="980"/>
    </row>
    <row r="6" spans="1:131 2330:2330" ht="21" customHeight="1" x14ac:dyDescent="0.2">
      <c r="A6" s="425" t="s">
        <v>14</v>
      </c>
      <c r="B6" s="425"/>
      <c r="C6" s="425" t="s">
        <v>734</v>
      </c>
      <c r="D6" s="425"/>
      <c r="E6" s="425"/>
      <c r="F6" s="425"/>
      <c r="G6" s="481"/>
      <c r="H6" s="482"/>
      <c r="I6" s="483"/>
      <c r="J6" s="483"/>
      <c r="K6" s="483"/>
      <c r="L6" s="483"/>
      <c r="M6" s="484"/>
      <c r="N6" s="485"/>
      <c r="O6" s="485"/>
      <c r="P6" s="485"/>
      <c r="Q6" s="485"/>
      <c r="R6" s="485"/>
      <c r="S6" s="485"/>
      <c r="T6" s="485"/>
      <c r="U6" s="485"/>
      <c r="V6" s="485"/>
      <c r="W6" s="485"/>
      <c r="X6" s="485"/>
      <c r="Y6" s="485"/>
      <c r="Z6" s="485"/>
      <c r="AA6" s="485">
        <f>SUM(AA7:AA18)</f>
        <v>142285158.36137822</v>
      </c>
      <c r="AB6" s="485">
        <f t="shared" ref="AB6:AJ6" si="0">SUM(AB7:AB18)</f>
        <v>29000000</v>
      </c>
      <c r="AC6" s="485">
        <f t="shared" si="0"/>
        <v>4380180</v>
      </c>
      <c r="AD6" s="485">
        <f t="shared" si="0"/>
        <v>41716000</v>
      </c>
      <c r="AE6" s="485">
        <f t="shared" si="0"/>
        <v>1100000</v>
      </c>
      <c r="AF6" s="485">
        <f t="shared" si="0"/>
        <v>108904978.36137821</v>
      </c>
      <c r="AG6" s="485">
        <f t="shared" si="0"/>
        <v>0</v>
      </c>
      <c r="AH6" s="485">
        <f t="shared" si="0"/>
        <v>1518000</v>
      </c>
      <c r="AI6" s="485">
        <f t="shared" si="0"/>
        <v>0</v>
      </c>
      <c r="AJ6" s="485">
        <f t="shared" si="0"/>
        <v>111521000</v>
      </c>
      <c r="AK6" s="485">
        <f t="shared" ref="AK6" si="1">SUM(AK7:AK16)</f>
        <v>88642000</v>
      </c>
      <c r="AL6" s="230"/>
      <c r="AM6" s="23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CKP6" s="518"/>
    </row>
    <row r="7" spans="1:131 2330:2330" s="781" customFormat="1" ht="27" customHeight="1" x14ac:dyDescent="0.2">
      <c r="A7" s="650">
        <v>1</v>
      </c>
      <c r="B7" s="650" t="s">
        <v>118</v>
      </c>
      <c r="C7" s="650" t="s">
        <v>70</v>
      </c>
      <c r="D7" s="650" t="s">
        <v>822</v>
      </c>
      <c r="E7" s="651">
        <v>38838</v>
      </c>
      <c r="F7" s="652">
        <f t="shared" ref="F7:F14" si="2">IF(IF(E7="",0,ROUND(($P$3-E7)/30,0))&lt;0,0,IF(E7="",0,ROUND(($P$3-E7)/30,0)))</f>
        <v>163</v>
      </c>
      <c r="G7" s="653">
        <f>IF(VLOOKUP(F7,'he so'!C:D,2,0)=0,0,VLOOKUP(F7,'he so'!C:D,2,0))</f>
        <v>0.12999999999999998</v>
      </c>
      <c r="H7" s="654">
        <f t="shared" ref="H7:H53" si="3">$H$4</f>
        <v>3745000</v>
      </c>
      <c r="I7" s="655" t="s">
        <v>659</v>
      </c>
      <c r="J7" s="655">
        <v>2</v>
      </c>
      <c r="K7" s="656"/>
      <c r="L7" s="654">
        <f>VLOOKUP(I7,'thang luong moi'!B:I,'BANG LUONG 1'!J7+1,0)</f>
        <v>4895250</v>
      </c>
      <c r="M7" s="657">
        <f>VLOOKUP(C7,CC!$C$5:$AJ$67,34,0)</f>
        <v>26</v>
      </c>
      <c r="N7" s="654">
        <f t="shared" ref="N7:N14" si="4">L7/$N$2*M7</f>
        <v>4895250</v>
      </c>
      <c r="O7" s="654">
        <f>VLOOKUP(C7,CC!$C$5:$AM$67,36,0)</f>
        <v>0</v>
      </c>
      <c r="P7" s="654">
        <f>VLOOKUP(C7,CC!$C$5:$BS$67,69,0)</f>
        <v>24</v>
      </c>
      <c r="Q7" s="654">
        <f>VLOOKUP(C7,CC!$C$5:$BT$67,70,0)</f>
        <v>16</v>
      </c>
      <c r="R7" s="654">
        <f>VLOOKUP(C7,CC!$C$5:$AM$67,37,0)</f>
        <v>1</v>
      </c>
      <c r="S7" s="654">
        <f>VLOOKUP(C7,CC!$C$5:$AM$67,35,0)</f>
        <v>0</v>
      </c>
      <c r="T7" s="654">
        <f>((L7+Y7)/N2*M7)+(O7*(L7/N2))+((P7/8)*1.5*(L7/N2))+((Q7/8)*2*(L7+Y7)/N2)+(S7*3*(L7+Y7)/N2+(L7/N2)*R7)</f>
        <v>12573995.192307692</v>
      </c>
      <c r="U7" s="654"/>
      <c r="V7" s="654">
        <f t="shared" ref="V7" si="5">+L7*G7</f>
        <v>636382.49999999988</v>
      </c>
      <c r="W7" s="654">
        <f t="shared" ref="W7" si="6">(L7)*G7</f>
        <v>636382.49999999988</v>
      </c>
      <c r="X7" s="654">
        <f>(100%-VLOOKUP(C7,'chuyên cần'!$C$7:$AP$52,40,FALSE))*$X$4</f>
        <v>300000</v>
      </c>
      <c r="Y7" s="654">
        <f>10000000-L7</f>
        <v>5104750</v>
      </c>
      <c r="Z7" s="654">
        <f t="shared" ref="Z7:Z14" si="7">SUM(W7:Y7)</f>
        <v>6041132.5</v>
      </c>
      <c r="AA7" s="658">
        <f>T7+W7+X7</f>
        <v>13510377.692307692</v>
      </c>
      <c r="AB7" s="658">
        <f>VLOOKUP(C7,'ung luong'!C71:F109,4,0)</f>
        <v>4000000</v>
      </c>
      <c r="AC7" s="658">
        <f t="shared" ref="AC7:AC14" si="8">AD7*$AC$3</f>
        <v>535500</v>
      </c>
      <c r="AD7" s="723">
        <v>5100000</v>
      </c>
      <c r="AE7" s="658">
        <v>200000</v>
      </c>
      <c r="AF7" s="658">
        <f t="shared" ref="AF7:AF14" si="9">AA7-AB7-AC7</f>
        <v>8974877.692307692</v>
      </c>
      <c r="AG7" s="658">
        <v>0</v>
      </c>
      <c r="AH7" s="658">
        <f>VLOOKUP(C7,CC!$C$5:$BW$50,73,0)*22000</f>
        <v>176000</v>
      </c>
      <c r="AI7" s="658"/>
      <c r="AJ7" s="658">
        <f>ROUND(AF7,-3)+AI7+AG7+AH7+AE7</f>
        <v>9351000</v>
      </c>
      <c r="AK7" s="658">
        <f>ROUND(AF7,-3)+AE7+AH7</f>
        <v>9351000</v>
      </c>
      <c r="AL7" s="988"/>
      <c r="AM7" s="988"/>
      <c r="AN7" s="780"/>
      <c r="AO7" s="780"/>
      <c r="AP7" s="780"/>
      <c r="AQ7" s="780"/>
      <c r="AR7" s="780"/>
      <c r="AS7" s="780"/>
      <c r="AT7" s="780"/>
      <c r="AU7" s="780"/>
      <c r="AV7" s="780"/>
      <c r="AW7" s="780"/>
      <c r="AX7" s="780"/>
      <c r="AY7" s="780"/>
      <c r="AZ7" s="780"/>
      <c r="BA7" s="780"/>
      <c r="BB7" s="780"/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C7" s="780"/>
      <c r="DD7" s="780"/>
      <c r="DE7" s="780"/>
      <c r="DF7" s="780"/>
      <c r="DG7" s="780"/>
      <c r="DH7" s="780"/>
      <c r="DI7" s="780"/>
      <c r="DJ7" s="780"/>
      <c r="DK7" s="780"/>
      <c r="DL7" s="780"/>
      <c r="DM7" s="780"/>
      <c r="DN7" s="780"/>
      <c r="DO7" s="780"/>
      <c r="DP7" s="780"/>
      <c r="DQ7" s="780"/>
      <c r="DR7" s="780"/>
      <c r="DS7" s="780"/>
      <c r="DT7" s="780"/>
      <c r="DU7" s="780"/>
      <c r="DV7" s="780"/>
      <c r="DW7" s="780"/>
      <c r="DX7" s="780"/>
      <c r="DY7" s="780"/>
      <c r="DZ7" s="780"/>
      <c r="EA7" s="780"/>
    </row>
    <row r="8" spans="1:131 2330:2330" s="781" customFormat="1" ht="25.5" customHeight="1" x14ac:dyDescent="0.2">
      <c r="A8" s="663">
        <v>2</v>
      </c>
      <c r="B8" s="663" t="s">
        <v>119</v>
      </c>
      <c r="C8" s="663" t="s">
        <v>91</v>
      </c>
      <c r="D8" s="663" t="s">
        <v>207</v>
      </c>
      <c r="E8" s="664">
        <v>41967</v>
      </c>
      <c r="F8" s="661">
        <f t="shared" si="2"/>
        <v>59</v>
      </c>
      <c r="G8" s="665">
        <f>IF(VLOOKUP(F8,'he so'!C:D,2,0)=0,0,VLOOKUP(F8,'he so'!C:D,2,0))</f>
        <v>0.04</v>
      </c>
      <c r="H8" s="666">
        <f t="shared" si="3"/>
        <v>3745000</v>
      </c>
      <c r="I8" s="667" t="s">
        <v>667</v>
      </c>
      <c r="J8" s="667">
        <v>1</v>
      </c>
      <c r="K8" s="778">
        <v>3745000</v>
      </c>
      <c r="L8" s="666">
        <f>VLOOKUP(I8,'thang luong moi'!B:I,'BANG LUONG 1'!J8+1,0)</f>
        <v>4213125</v>
      </c>
      <c r="M8" s="779">
        <f>VLOOKUP(C8,CC!$C$5:$AJ$67,34,0)</f>
        <v>25</v>
      </c>
      <c r="N8" s="666">
        <f>L8/$N$2*M8</f>
        <v>4051081.7307692305</v>
      </c>
      <c r="O8" s="666">
        <f>VLOOKUP(C8,CC!$C$5:$AM$67,36,0)</f>
        <v>0</v>
      </c>
      <c r="P8" s="666">
        <f>VLOOKUP(C8,CC!$C$5:$BS$67,69,0)</f>
        <v>21</v>
      </c>
      <c r="Q8" s="666">
        <f>VLOOKUP(C8,CC!$C$5:$BT$67,70,0)</f>
        <v>16</v>
      </c>
      <c r="R8" s="666">
        <f>VLOOKUP(C8,CC!$C$5:$AM$67,37,0)</f>
        <v>1</v>
      </c>
      <c r="S8" s="666">
        <f>VLOOKUP(C8,CC!$C$5:$AM$67,35,0)</f>
        <v>0</v>
      </c>
      <c r="T8" s="970">
        <f>((L8/$N$2)*M8)+(O8*(L8/$N$2))+((P8/8)*1.5*(L8/$N$2))+((Q8/8)*2*L8/$N$2)+(S8*3*(L8/$N$2)+(L8/$N$2)*R8)</f>
        <v>5499343.4495192301</v>
      </c>
      <c r="U8" s="666">
        <f>VLOOKUP(C8,'Công tổng'!$C$53:$BY$85,75,0)-N8</f>
        <v>8270612.8205128219</v>
      </c>
      <c r="V8" s="666">
        <f t="shared" ref="V8:V14" si="10">+L8*G8</f>
        <v>168525</v>
      </c>
      <c r="W8" s="666">
        <f t="shared" ref="W8:W14" si="11">(L8)*G8</f>
        <v>168525</v>
      </c>
      <c r="X8" s="666">
        <f>(100%-VLOOKUP(C8,'chuyên cần'!$C$7:$AP$52,40,FALSE))*$X$4</f>
        <v>300000</v>
      </c>
      <c r="Y8" s="666"/>
      <c r="Z8" s="666">
        <f t="shared" si="7"/>
        <v>468525</v>
      </c>
      <c r="AA8" s="669">
        <f t="shared" ref="AA8:AA14" si="12">Z8+U8+T8</f>
        <v>14238481.270032052</v>
      </c>
      <c r="AB8" s="669">
        <f>VLOOKUP(C8,'ung luong'!C73:F115,4,0)</f>
        <v>3000000</v>
      </c>
      <c r="AC8" s="669">
        <f t="shared" si="8"/>
        <v>480585</v>
      </c>
      <c r="AD8" s="669">
        <v>4577000</v>
      </c>
      <c r="AE8" s="669">
        <v>100000</v>
      </c>
      <c r="AF8" s="669">
        <f>AA8-AB8-AC8</f>
        <v>10757896.270032052</v>
      </c>
      <c r="AG8" s="669">
        <v>0</v>
      </c>
      <c r="AH8" s="669">
        <f>VLOOKUP(C8,CC!$C$5:$BW$50,73,0)*22000</f>
        <v>154000</v>
      </c>
      <c r="AI8" s="490"/>
      <c r="AJ8" s="669">
        <f>ROUND(AF8,-3)+AI8+AG8+AH8+AE8</f>
        <v>11012000</v>
      </c>
      <c r="AK8" s="669">
        <f>ROUND(AF8,-3)+AE8+AH8</f>
        <v>11012000</v>
      </c>
      <c r="AL8" s="988"/>
      <c r="AM8" s="988"/>
      <c r="AN8" s="780"/>
      <c r="AO8" s="780"/>
      <c r="AP8" s="780"/>
      <c r="AQ8" s="780"/>
      <c r="AR8" s="780"/>
      <c r="AS8" s="780"/>
      <c r="AT8" s="780"/>
      <c r="AU8" s="780"/>
      <c r="AV8" s="780"/>
      <c r="AW8" s="780"/>
      <c r="AX8" s="780"/>
      <c r="AY8" s="780"/>
      <c r="AZ8" s="780"/>
      <c r="BA8" s="780"/>
      <c r="BB8" s="780"/>
      <c r="BC8" s="780"/>
      <c r="BD8" s="780"/>
      <c r="BE8" s="780"/>
      <c r="BF8" s="780"/>
      <c r="BG8" s="780"/>
      <c r="BH8" s="780"/>
      <c r="BI8" s="780"/>
      <c r="BJ8" s="780"/>
      <c r="BK8" s="780"/>
      <c r="BL8" s="780"/>
      <c r="BM8" s="780"/>
      <c r="BN8" s="780"/>
      <c r="BO8" s="780"/>
      <c r="BP8" s="780"/>
      <c r="BQ8" s="780"/>
      <c r="BR8" s="780"/>
      <c r="BS8" s="780"/>
      <c r="BT8" s="780"/>
      <c r="BU8" s="780"/>
      <c r="BV8" s="780"/>
      <c r="BW8" s="780"/>
      <c r="BX8" s="780"/>
      <c r="BY8" s="780"/>
      <c r="BZ8" s="780"/>
      <c r="CA8" s="780"/>
      <c r="CB8" s="780"/>
      <c r="CC8" s="780"/>
      <c r="CD8" s="780"/>
      <c r="CE8" s="780"/>
      <c r="CF8" s="780"/>
      <c r="CG8" s="780"/>
      <c r="CH8" s="780"/>
      <c r="CI8" s="780"/>
      <c r="CJ8" s="780"/>
      <c r="CK8" s="780"/>
      <c r="CL8" s="780"/>
      <c r="CM8" s="780"/>
      <c r="CN8" s="780"/>
      <c r="CO8" s="780"/>
      <c r="CP8" s="780"/>
      <c r="CQ8" s="780"/>
      <c r="CR8" s="780"/>
      <c r="CS8" s="780"/>
      <c r="CT8" s="780"/>
      <c r="CU8" s="780"/>
      <c r="CV8" s="780"/>
      <c r="CW8" s="780"/>
      <c r="CX8" s="780"/>
      <c r="CY8" s="780"/>
      <c r="CZ8" s="780"/>
      <c r="DA8" s="780"/>
      <c r="DB8" s="780"/>
      <c r="DC8" s="780"/>
      <c r="DD8" s="780"/>
      <c r="DE8" s="780"/>
      <c r="DF8" s="780"/>
      <c r="DG8" s="780"/>
      <c r="DH8" s="780"/>
      <c r="DI8" s="780"/>
      <c r="DJ8" s="780"/>
      <c r="DK8" s="780"/>
      <c r="DL8" s="780"/>
      <c r="DM8" s="780"/>
      <c r="DN8" s="780"/>
      <c r="DO8" s="780"/>
      <c r="DP8" s="780"/>
      <c r="DQ8" s="780"/>
      <c r="DR8" s="780"/>
      <c r="DS8" s="780"/>
      <c r="DT8" s="780"/>
      <c r="DU8" s="780"/>
      <c r="DV8" s="780"/>
      <c r="DW8" s="780"/>
      <c r="DX8" s="780"/>
      <c r="DY8" s="780"/>
      <c r="DZ8" s="780"/>
      <c r="EA8" s="780"/>
    </row>
    <row r="9" spans="1:131 2330:2330" s="518" customFormat="1" ht="27.75" customHeight="1" x14ac:dyDescent="0.2">
      <c r="A9" s="436">
        <v>3</v>
      </c>
      <c r="B9" s="436" t="s">
        <v>122</v>
      </c>
      <c r="C9" s="436" t="s">
        <v>783</v>
      </c>
      <c r="D9" s="436" t="s">
        <v>207</v>
      </c>
      <c r="E9" s="486">
        <v>43232</v>
      </c>
      <c r="F9" s="491">
        <f t="shared" si="2"/>
        <v>17</v>
      </c>
      <c r="G9" s="492">
        <f>IF(VLOOKUP(F9,'he so'!C:D,2,0)=0,0,VLOOKUP(F9,'he so'!C:D,2,0))</f>
        <v>0</v>
      </c>
      <c r="H9" s="488">
        <f>$H$4</f>
        <v>3745000</v>
      </c>
      <c r="I9" s="487" t="s">
        <v>667</v>
      </c>
      <c r="J9" s="487">
        <v>1</v>
      </c>
      <c r="K9" s="493">
        <v>3745000</v>
      </c>
      <c r="L9" s="488">
        <f>VLOOKUP(I9,'thang luong moi'!B:I,'BANG LUONG 1'!J9+1,0)</f>
        <v>4213125</v>
      </c>
      <c r="M9" s="489">
        <f>VLOOKUP(C9,CC!$C$5:$AJ$67,34,0)</f>
        <v>0</v>
      </c>
      <c r="N9" s="488">
        <f t="shared" si="4"/>
        <v>0</v>
      </c>
      <c r="O9" s="488">
        <f>VLOOKUP(C9,CC!$C$5:$AM$67,36,0)</f>
        <v>0</v>
      </c>
      <c r="P9" s="488">
        <f>VLOOKUP(C9,CC!$C$5:$BS$67,69,0)</f>
        <v>0</v>
      </c>
      <c r="Q9" s="488">
        <f>VLOOKUP(C9,CC!$C$5:$BT$67,70,0)</f>
        <v>0</v>
      </c>
      <c r="R9" s="488">
        <f>VLOOKUP(C9,CC!$C$5:$AM$67,37,0)</f>
        <v>0</v>
      </c>
      <c r="S9" s="488">
        <f>VLOOKUP(C9,CC!$C$5:$AM$67,35,0)</f>
        <v>0</v>
      </c>
      <c r="T9" s="488">
        <f t="shared" ref="T9:T14" si="13">((L9/$N$2)*M9)+(O9*(L9/$N$2))+((P9/8)*1.5*(L9/$N$2))+((Q9/8)*2*L9/$N$2)+(S9*3*(L9/$N$2)+(L9/$N$2)*R9)</f>
        <v>0</v>
      </c>
      <c r="U9" s="488">
        <f>VLOOKUP(C9,'Công tổng'!$C$53:$BY$85,75,0)-N9</f>
        <v>0</v>
      </c>
      <c r="V9" s="666">
        <f t="shared" si="10"/>
        <v>0</v>
      </c>
      <c r="W9" s="488">
        <f t="shared" si="11"/>
        <v>0</v>
      </c>
      <c r="X9" s="666">
        <f>(100%-VLOOKUP(C9,'chuyên cần'!$C$7:$AP$52,40,FALSE))*$X$4</f>
        <v>0</v>
      </c>
      <c r="Y9" s="488"/>
      <c r="Z9" s="488">
        <f t="shared" si="7"/>
        <v>0</v>
      </c>
      <c r="AA9" s="490">
        <f t="shared" si="12"/>
        <v>0</v>
      </c>
      <c r="AB9" s="669"/>
      <c r="AC9" s="490">
        <v>0</v>
      </c>
      <c r="AD9" s="490"/>
      <c r="AE9" s="669">
        <v>0</v>
      </c>
      <c r="AF9" s="490">
        <f t="shared" si="9"/>
        <v>0</v>
      </c>
      <c r="AG9" s="669">
        <v>0</v>
      </c>
      <c r="AH9" s="669">
        <f>VLOOKUP(C9,CC!$C$5:$BW$50,73,0)*22000</f>
        <v>0</v>
      </c>
      <c r="AI9" s="490"/>
      <c r="AJ9" s="669">
        <f t="shared" ref="AJ9:AJ14" si="14">ROUND(AF9,-3)+AI9+AG9+AH9+AE9</f>
        <v>0</v>
      </c>
      <c r="AK9" s="669">
        <f t="shared" ref="AK9:AK14" si="15">ROUND(AF9,-3)+AE9+AH9</f>
        <v>0</v>
      </c>
      <c r="AL9" s="978"/>
      <c r="AM9" s="978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17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17"/>
      <c r="BV9" s="517"/>
      <c r="BW9" s="517"/>
      <c r="BX9" s="517"/>
      <c r="BY9" s="517"/>
      <c r="BZ9" s="517"/>
      <c r="CA9" s="517"/>
      <c r="CB9" s="517"/>
      <c r="CC9" s="517"/>
      <c r="CD9" s="517"/>
      <c r="CE9" s="517"/>
      <c r="CF9" s="517"/>
      <c r="CG9" s="517"/>
      <c r="CH9" s="517"/>
      <c r="CI9" s="517"/>
      <c r="CJ9" s="517"/>
      <c r="CK9" s="517"/>
      <c r="CL9" s="517"/>
      <c r="CM9" s="517"/>
      <c r="CN9" s="517"/>
      <c r="CO9" s="517"/>
      <c r="CP9" s="517"/>
      <c r="CQ9" s="517"/>
      <c r="CR9" s="517"/>
      <c r="CS9" s="517"/>
      <c r="CT9" s="517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7"/>
      <c r="DM9" s="517"/>
      <c r="DN9" s="517"/>
      <c r="DO9" s="517"/>
      <c r="DP9" s="517"/>
      <c r="DQ9" s="517"/>
      <c r="DR9" s="517"/>
      <c r="DS9" s="517"/>
      <c r="DT9" s="517"/>
      <c r="DU9" s="517"/>
      <c r="DV9" s="517"/>
      <c r="DW9" s="517"/>
      <c r="DX9" s="517"/>
      <c r="DY9" s="517"/>
      <c r="DZ9" s="517"/>
    </row>
    <row r="10" spans="1:131 2330:2330" s="574" customFormat="1" ht="21" customHeight="1" x14ac:dyDescent="0.2">
      <c r="A10" s="436">
        <v>4</v>
      </c>
      <c r="B10" s="436" t="s">
        <v>124</v>
      </c>
      <c r="C10" s="436" t="s">
        <v>369</v>
      </c>
      <c r="D10" s="436" t="s">
        <v>207</v>
      </c>
      <c r="E10" s="486">
        <v>42066</v>
      </c>
      <c r="F10" s="491">
        <f t="shared" si="2"/>
        <v>56</v>
      </c>
      <c r="G10" s="492">
        <f>IF(VLOOKUP(F10,'he so'!C:D,2,0)=0,0,VLOOKUP(F10,'he so'!C:D,2,0))</f>
        <v>0.04</v>
      </c>
      <c r="H10" s="488">
        <f t="shared" si="3"/>
        <v>3745000</v>
      </c>
      <c r="I10" s="487" t="s">
        <v>667</v>
      </c>
      <c r="J10" s="487">
        <v>1</v>
      </c>
      <c r="K10" s="493">
        <v>3745000</v>
      </c>
      <c r="L10" s="488">
        <f>VLOOKUP(I10,'thang luong moi'!B:I,'BANG LUONG 1'!J10+1,0)</f>
        <v>4213125</v>
      </c>
      <c r="M10" s="489">
        <f>VLOOKUP(C10,CC!$C$5:$AJ$67,34,0)</f>
        <v>25</v>
      </c>
      <c r="N10" s="488">
        <f t="shared" si="4"/>
        <v>4051081.7307692305</v>
      </c>
      <c r="O10" s="488">
        <f>VLOOKUP(C10,CC!$C$5:$AM$67,36,0)</f>
        <v>1</v>
      </c>
      <c r="P10" s="488">
        <f>VLOOKUP(C10,CC!$C$5:$BS$67,69,0)</f>
        <v>24</v>
      </c>
      <c r="Q10" s="488">
        <f>VLOOKUP(C10,CC!$C$5:$BT$67,70,0)</f>
        <v>16</v>
      </c>
      <c r="R10" s="488">
        <f>VLOOKUP(C10,CC!$C$5:$AM$67,37,0)</f>
        <v>1</v>
      </c>
      <c r="S10" s="488">
        <f>VLOOKUP(C10,CC!$C$5:$AM$67,35,0)</f>
        <v>0</v>
      </c>
      <c r="T10" s="488">
        <f t="shared" si="13"/>
        <v>5752536.057692308</v>
      </c>
      <c r="U10" s="488">
        <f>VLOOKUP(C10,'Công tổng'!$C$53:$BY$85,75,0)-N10</f>
        <v>8744895.5128205158</v>
      </c>
      <c r="V10" s="666">
        <f t="shared" si="10"/>
        <v>168525</v>
      </c>
      <c r="W10" s="488">
        <f t="shared" si="11"/>
        <v>168525</v>
      </c>
      <c r="X10" s="666">
        <f>(100%-VLOOKUP(C10,'chuyên cần'!$C$7:$AP$52,40,FALSE))*$X$4</f>
        <v>300000</v>
      </c>
      <c r="Y10" s="488">
        <v>300000</v>
      </c>
      <c r="Z10" s="488">
        <f t="shared" si="7"/>
        <v>768525</v>
      </c>
      <c r="AA10" s="490">
        <f t="shared" si="12"/>
        <v>15265956.570512824</v>
      </c>
      <c r="AB10" s="669">
        <f>VLOOKUP(C10,'ung luong'!C74:F120,4,0)</f>
        <v>4000000</v>
      </c>
      <c r="AC10" s="490">
        <f t="shared" si="8"/>
        <v>480585</v>
      </c>
      <c r="AD10" s="490">
        <v>4577000</v>
      </c>
      <c r="AE10" s="669">
        <v>100000</v>
      </c>
      <c r="AF10" s="490">
        <f t="shared" si="9"/>
        <v>10785371.570512824</v>
      </c>
      <c r="AG10" s="669">
        <v>0</v>
      </c>
      <c r="AH10" s="669">
        <f>VLOOKUP(C10,CC!$C$5:$BW$50,73,0)*22000</f>
        <v>176000</v>
      </c>
      <c r="AI10" s="490"/>
      <c r="AJ10" s="669">
        <f>ROUND(AF10,-3)+AI10+AG10+AH10+AE10</f>
        <v>11061000</v>
      </c>
      <c r="AK10" s="669">
        <f t="shared" si="15"/>
        <v>11061000</v>
      </c>
      <c r="AL10" s="989"/>
      <c r="AM10" s="989"/>
      <c r="AN10" s="573"/>
      <c r="AO10" s="573"/>
      <c r="AP10" s="573"/>
      <c r="AQ10" s="573"/>
      <c r="AR10" s="573"/>
      <c r="AS10" s="573"/>
      <c r="AT10" s="573"/>
      <c r="AU10" s="573"/>
      <c r="AV10" s="573"/>
      <c r="AW10" s="573"/>
      <c r="AX10" s="573"/>
      <c r="AY10" s="573"/>
      <c r="AZ10" s="573"/>
      <c r="BA10" s="573"/>
      <c r="BB10" s="573"/>
      <c r="BC10" s="573"/>
      <c r="BD10" s="573"/>
      <c r="BE10" s="573"/>
      <c r="BF10" s="573"/>
      <c r="BG10" s="573"/>
      <c r="BH10" s="573"/>
      <c r="BI10" s="573"/>
      <c r="BJ10" s="573"/>
      <c r="BK10" s="573"/>
      <c r="BL10" s="573"/>
      <c r="BM10" s="573"/>
      <c r="BN10" s="573"/>
      <c r="BO10" s="573"/>
      <c r="BP10" s="573"/>
      <c r="BQ10" s="573"/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573"/>
      <c r="CE10" s="573"/>
      <c r="CF10" s="573"/>
      <c r="CG10" s="573"/>
      <c r="CH10" s="573"/>
      <c r="CI10" s="573"/>
      <c r="CJ10" s="573"/>
      <c r="CK10" s="573"/>
      <c r="CL10" s="573"/>
      <c r="CM10" s="573"/>
      <c r="CN10" s="573"/>
      <c r="CO10" s="573"/>
      <c r="CP10" s="573"/>
      <c r="CQ10" s="573"/>
      <c r="CR10" s="573"/>
      <c r="CS10" s="573"/>
      <c r="CT10" s="573"/>
      <c r="CU10" s="573"/>
      <c r="CV10" s="573"/>
      <c r="CW10" s="573"/>
      <c r="CX10" s="573"/>
      <c r="CY10" s="573"/>
      <c r="CZ10" s="573"/>
      <c r="DA10" s="573"/>
      <c r="DB10" s="573"/>
      <c r="DC10" s="573"/>
      <c r="DD10" s="573"/>
      <c r="DE10" s="573"/>
      <c r="DF10" s="573"/>
      <c r="DG10" s="573"/>
      <c r="DH10" s="573"/>
      <c r="DI10" s="573"/>
      <c r="DJ10" s="573"/>
      <c r="DK10" s="573"/>
      <c r="DL10" s="573"/>
      <c r="DM10" s="573"/>
      <c r="DN10" s="573"/>
      <c r="DO10" s="573"/>
      <c r="DP10" s="573"/>
      <c r="DQ10" s="573"/>
      <c r="DR10" s="573"/>
      <c r="DS10" s="573"/>
      <c r="DT10" s="573"/>
      <c r="DU10" s="573"/>
      <c r="DV10" s="573"/>
      <c r="DW10" s="573"/>
      <c r="DX10" s="573"/>
      <c r="DY10" s="573"/>
      <c r="DZ10" s="573"/>
      <c r="CKP10" s="518"/>
    </row>
    <row r="11" spans="1:131 2330:2330" s="518" customFormat="1" ht="21" customHeight="1" x14ac:dyDescent="0.2">
      <c r="A11" s="663">
        <v>5</v>
      </c>
      <c r="B11" s="436" t="s">
        <v>126</v>
      </c>
      <c r="C11" s="436" t="s">
        <v>717</v>
      </c>
      <c r="D11" s="436" t="s">
        <v>207</v>
      </c>
      <c r="E11" s="798">
        <v>42522</v>
      </c>
      <c r="F11" s="491">
        <f t="shared" si="2"/>
        <v>40</v>
      </c>
      <c r="G11" s="492">
        <f>IF(VLOOKUP(F11,'he so'!C:D,2,0)=0,0,VLOOKUP(F11,'he so'!C:D,2,0))</f>
        <v>0.03</v>
      </c>
      <c r="H11" s="488">
        <f t="shared" si="3"/>
        <v>3745000</v>
      </c>
      <c r="I11" s="487" t="s">
        <v>667</v>
      </c>
      <c r="J11" s="487">
        <v>1</v>
      </c>
      <c r="K11" s="493">
        <v>3745000</v>
      </c>
      <c r="L11" s="488">
        <f>VLOOKUP(I11,'thang luong moi'!B:I,'BANG LUONG 1'!J11+1,0)</f>
        <v>4213125</v>
      </c>
      <c r="M11" s="489">
        <f>VLOOKUP(C11,CC!$C$5:$AJ$67,34,0)</f>
        <v>25</v>
      </c>
      <c r="N11" s="488">
        <f t="shared" si="4"/>
        <v>4051081.7307692305</v>
      </c>
      <c r="O11" s="488">
        <f>VLOOKUP(C11,CC!$C$5:$AM$67,36,0)</f>
        <v>1</v>
      </c>
      <c r="P11" s="488">
        <f>VLOOKUP(C11,CC!$C$5:$BS$67,69,0)</f>
        <v>21</v>
      </c>
      <c r="Q11" s="488">
        <f>VLOOKUP(C11,CC!$C$5:$BT$67,70,0)</f>
        <v>16</v>
      </c>
      <c r="R11" s="488">
        <f>VLOOKUP(C11,CC!$C$5:$AM$67,37,0)</f>
        <v>1</v>
      </c>
      <c r="S11" s="488">
        <f>VLOOKUP(C11,CC!$C$5:$AM$67,35,0)</f>
        <v>0</v>
      </c>
      <c r="T11" s="488">
        <f t="shared" si="13"/>
        <v>5661386.71875</v>
      </c>
      <c r="U11" s="488">
        <f>VLOOKUP(C11,'Công tổng'!$C$53:$BY$85,75,0)-N11</f>
        <v>8432295.1923076939</v>
      </c>
      <c r="V11" s="666">
        <f t="shared" si="10"/>
        <v>126393.75</v>
      </c>
      <c r="W11" s="488">
        <f t="shared" si="11"/>
        <v>126393.75</v>
      </c>
      <c r="X11" s="666">
        <f>(100%-VLOOKUP(C11,'chuyên cần'!$C$7:$AP$52,40,FALSE))*$X$4</f>
        <v>300000</v>
      </c>
      <c r="Y11" s="488"/>
      <c r="Z11" s="488">
        <f t="shared" si="7"/>
        <v>426393.75</v>
      </c>
      <c r="AA11" s="490">
        <f t="shared" si="12"/>
        <v>14520075.661057694</v>
      </c>
      <c r="AB11" s="669">
        <f>VLOOKUP(C11,'ung luong'!C75:F122,4,0)</f>
        <v>4000000</v>
      </c>
      <c r="AC11" s="490">
        <f t="shared" si="8"/>
        <v>480585</v>
      </c>
      <c r="AD11" s="490">
        <v>4577000</v>
      </c>
      <c r="AE11" s="669">
        <v>100000</v>
      </c>
      <c r="AF11" s="490">
        <f t="shared" si="9"/>
        <v>10039490.661057694</v>
      </c>
      <c r="AG11" s="669">
        <v>0</v>
      </c>
      <c r="AH11" s="669">
        <f>VLOOKUP(C11,CC!$C$5:$BW$50,73,0)*22000</f>
        <v>154000</v>
      </c>
      <c r="AI11" s="490"/>
      <c r="AJ11" s="669">
        <f t="shared" si="14"/>
        <v>10293000</v>
      </c>
      <c r="AK11" s="669">
        <f t="shared" si="15"/>
        <v>10293000</v>
      </c>
      <c r="AL11" s="978"/>
      <c r="AM11" s="978"/>
      <c r="AN11" s="517"/>
      <c r="AO11" s="517"/>
      <c r="AP11" s="517"/>
      <c r="AQ11" s="517"/>
      <c r="AR11" s="517"/>
      <c r="AS11" s="517"/>
      <c r="AT11" s="517"/>
      <c r="AU11" s="517"/>
      <c r="AV11" s="517"/>
      <c r="AW11" s="517"/>
      <c r="AX11" s="517"/>
      <c r="AY11" s="517"/>
      <c r="AZ11" s="517"/>
      <c r="BA11" s="517"/>
      <c r="BB11" s="517"/>
      <c r="BC11" s="517"/>
      <c r="BD11" s="517"/>
      <c r="BE11" s="517"/>
      <c r="BF11" s="517"/>
      <c r="BG11" s="517"/>
      <c r="BH11" s="517"/>
      <c r="BI11" s="517"/>
      <c r="BJ11" s="517"/>
      <c r="BK11" s="517"/>
      <c r="BL11" s="517"/>
      <c r="BM11" s="517"/>
      <c r="BN11" s="517"/>
      <c r="BO11" s="517"/>
      <c r="BP11" s="517"/>
      <c r="BQ11" s="517"/>
      <c r="BR11" s="517"/>
      <c r="BS11" s="517"/>
      <c r="BT11" s="517"/>
      <c r="BU11" s="517"/>
      <c r="BV11" s="517"/>
      <c r="BW11" s="517"/>
      <c r="BX11" s="517"/>
      <c r="BY11" s="517"/>
      <c r="BZ11" s="517"/>
      <c r="CA11" s="517"/>
      <c r="CB11" s="517"/>
      <c r="CC11" s="517"/>
      <c r="CD11" s="517"/>
      <c r="CE11" s="517"/>
      <c r="CF11" s="517"/>
      <c r="CG11" s="517"/>
      <c r="CH11" s="517"/>
      <c r="CI11" s="517"/>
      <c r="CJ11" s="517"/>
      <c r="CK11" s="517"/>
      <c r="CL11" s="517"/>
      <c r="CM11" s="517"/>
      <c r="CN11" s="517"/>
      <c r="CO11" s="517"/>
      <c r="CP11" s="517"/>
      <c r="CQ11" s="517"/>
      <c r="CR11" s="517"/>
      <c r="CS11" s="517"/>
      <c r="CT11" s="517"/>
      <c r="CU11" s="517"/>
      <c r="CV11" s="517"/>
      <c r="CW11" s="517"/>
      <c r="CX11" s="517"/>
      <c r="CY11" s="517"/>
      <c r="CZ11" s="517"/>
      <c r="DA11" s="517"/>
      <c r="DB11" s="517"/>
      <c r="DC11" s="517"/>
      <c r="DD11" s="517"/>
      <c r="DE11" s="517"/>
      <c r="DF11" s="517"/>
      <c r="DG11" s="517"/>
      <c r="DH11" s="517"/>
      <c r="DI11" s="517"/>
      <c r="DJ11" s="517"/>
      <c r="DK11" s="517"/>
      <c r="DL11" s="517"/>
      <c r="DM11" s="517"/>
      <c r="DN11" s="517"/>
      <c r="DO11" s="517"/>
      <c r="DP11" s="517"/>
      <c r="DQ11" s="517"/>
      <c r="DR11" s="517"/>
      <c r="DS11" s="517"/>
      <c r="DT11" s="517"/>
      <c r="DU11" s="517"/>
      <c r="DV11" s="517"/>
      <c r="DW11" s="517"/>
      <c r="DX11" s="517"/>
      <c r="DY11" s="517"/>
      <c r="DZ11" s="517"/>
    </row>
    <row r="12" spans="1:131 2330:2330" s="518" customFormat="1" ht="21" customHeight="1" x14ac:dyDescent="0.2">
      <c r="A12" s="436">
        <v>6</v>
      </c>
      <c r="B12" s="663" t="s">
        <v>127</v>
      </c>
      <c r="C12" s="436" t="s">
        <v>752</v>
      </c>
      <c r="D12" s="436" t="s">
        <v>207</v>
      </c>
      <c r="E12" s="798">
        <v>42731</v>
      </c>
      <c r="F12" s="491">
        <f t="shared" si="2"/>
        <v>33</v>
      </c>
      <c r="G12" s="492">
        <f>IF(VLOOKUP(F12,'he so'!C:D,2,0)=0,0,VLOOKUP(F12,'he so'!C:D,2,0))</f>
        <v>0</v>
      </c>
      <c r="H12" s="488">
        <f t="shared" si="3"/>
        <v>3745000</v>
      </c>
      <c r="I12" s="487" t="s">
        <v>667</v>
      </c>
      <c r="J12" s="487">
        <v>1</v>
      </c>
      <c r="K12" s="493">
        <v>3745000</v>
      </c>
      <c r="L12" s="488">
        <f>VLOOKUP(I12,'thang luong moi'!B:I,'BANG LUONG 1'!J12+1,0)</f>
        <v>4213125</v>
      </c>
      <c r="M12" s="489">
        <f>VLOOKUP(C12,CC!$C$5:$AJ$67,34,0)</f>
        <v>25</v>
      </c>
      <c r="N12" s="488">
        <f t="shared" si="4"/>
        <v>4051081.7307692305</v>
      </c>
      <c r="O12" s="488">
        <f>VLOOKUP(C12,CC!$C$5:$AM$67,36,0)</f>
        <v>1</v>
      </c>
      <c r="P12" s="488">
        <f>VLOOKUP(C12,CC!$C$5:$BS$67,69,0)</f>
        <v>15</v>
      </c>
      <c r="Q12" s="488">
        <f>VLOOKUP(C12,CC!$C$5:$BT$67,70,0)</f>
        <v>16</v>
      </c>
      <c r="R12" s="488">
        <f>VLOOKUP(C12,CC!$C$5:$AM$67,37,0)</f>
        <v>1</v>
      </c>
      <c r="S12" s="488">
        <f>VLOOKUP(C12,CC!$C$5:$AM$67,35,0)</f>
        <v>0</v>
      </c>
      <c r="T12" s="488">
        <f t="shared" si="13"/>
        <v>5479088.040865384</v>
      </c>
      <c r="U12" s="488">
        <f>VLOOKUP(C12,'Công tổng'!$C$53:$BY$85,75,0)-N12</f>
        <v>8256621.1538461559</v>
      </c>
      <c r="V12" s="666">
        <f t="shared" si="10"/>
        <v>0</v>
      </c>
      <c r="W12" s="488">
        <f t="shared" si="11"/>
        <v>0</v>
      </c>
      <c r="X12" s="666">
        <f>(100%-VLOOKUP(C12,'chuyên cần'!$C$7:$AP$52,40,FALSE))*$X$4</f>
        <v>300000</v>
      </c>
      <c r="Y12" s="488"/>
      <c r="Z12" s="488">
        <f t="shared" si="7"/>
        <v>300000</v>
      </c>
      <c r="AA12" s="490">
        <f t="shared" si="12"/>
        <v>14035709.19471154</v>
      </c>
      <c r="AB12" s="669">
        <f>VLOOKUP(C12,'ung luong'!C76:F123,4,0)</f>
        <v>4000000</v>
      </c>
      <c r="AC12" s="490">
        <f t="shared" si="8"/>
        <v>480585</v>
      </c>
      <c r="AD12" s="490">
        <v>4577000</v>
      </c>
      <c r="AE12" s="669">
        <v>100000</v>
      </c>
      <c r="AF12" s="490">
        <f t="shared" si="9"/>
        <v>9555124.1947115399</v>
      </c>
      <c r="AG12" s="669">
        <v>0</v>
      </c>
      <c r="AH12" s="669">
        <f>VLOOKUP(C12,CC!$C$5:$BW$50,73,0)*22000</f>
        <v>110000</v>
      </c>
      <c r="AI12" s="490"/>
      <c r="AJ12" s="669">
        <f t="shared" si="14"/>
        <v>9765000</v>
      </c>
      <c r="AK12" s="669">
        <f>ROUND(AF12,-3)+AE12+AH12</f>
        <v>9765000</v>
      </c>
      <c r="AL12" s="978"/>
      <c r="AM12" s="978"/>
      <c r="AN12" s="517"/>
      <c r="AO12" s="517"/>
      <c r="AP12" s="517"/>
      <c r="AQ12" s="517"/>
      <c r="AR12" s="517"/>
      <c r="AS12" s="517"/>
      <c r="AT12" s="517"/>
      <c r="AU12" s="517"/>
      <c r="AV12" s="517"/>
      <c r="AW12" s="517"/>
      <c r="AX12" s="517"/>
      <c r="AY12" s="517"/>
      <c r="AZ12" s="517"/>
      <c r="BA12" s="517"/>
      <c r="BB12" s="517"/>
      <c r="BC12" s="517"/>
      <c r="BD12" s="517"/>
      <c r="BE12" s="517"/>
      <c r="BF12" s="517"/>
      <c r="BG12" s="517"/>
      <c r="BH12" s="517"/>
      <c r="BI12" s="517"/>
      <c r="BJ12" s="517"/>
      <c r="BK12" s="517"/>
      <c r="BL12" s="517"/>
      <c r="BM12" s="517"/>
      <c r="BN12" s="517"/>
      <c r="BO12" s="517"/>
      <c r="BP12" s="517"/>
      <c r="BQ12" s="517"/>
      <c r="BR12" s="517"/>
      <c r="BS12" s="517"/>
      <c r="BT12" s="517"/>
      <c r="BU12" s="517"/>
      <c r="BV12" s="517"/>
      <c r="BW12" s="517"/>
      <c r="BX12" s="517"/>
      <c r="BY12" s="517"/>
      <c r="BZ12" s="517"/>
      <c r="CA12" s="517"/>
      <c r="CB12" s="517"/>
      <c r="CC12" s="517"/>
      <c r="CD12" s="517"/>
      <c r="CE12" s="517"/>
      <c r="CF12" s="517"/>
      <c r="CG12" s="517"/>
      <c r="CH12" s="517"/>
      <c r="CI12" s="517"/>
      <c r="CJ12" s="517"/>
      <c r="CK12" s="517"/>
      <c r="CL12" s="517"/>
      <c r="CM12" s="517"/>
      <c r="CN12" s="517"/>
      <c r="CO12" s="517"/>
      <c r="CP12" s="517"/>
      <c r="CQ12" s="517"/>
      <c r="CR12" s="517"/>
      <c r="CS12" s="517"/>
      <c r="CT12" s="517"/>
      <c r="CU12" s="517"/>
      <c r="CV12" s="517"/>
      <c r="CW12" s="517"/>
      <c r="CX12" s="517"/>
      <c r="CY12" s="517"/>
      <c r="CZ12" s="517"/>
      <c r="DA12" s="517"/>
      <c r="DB12" s="517"/>
      <c r="DC12" s="517"/>
      <c r="DD12" s="517"/>
      <c r="DE12" s="517"/>
      <c r="DF12" s="517"/>
      <c r="DG12" s="517"/>
      <c r="DH12" s="517"/>
      <c r="DI12" s="517"/>
      <c r="DJ12" s="517"/>
      <c r="DK12" s="517"/>
      <c r="DL12" s="517"/>
      <c r="DM12" s="517"/>
      <c r="DN12" s="517"/>
      <c r="DO12" s="517"/>
      <c r="DP12" s="517"/>
      <c r="DQ12" s="517"/>
      <c r="DR12" s="517"/>
      <c r="DS12" s="517"/>
      <c r="DT12" s="517"/>
      <c r="DU12" s="517"/>
      <c r="DV12" s="517"/>
      <c r="DW12" s="517"/>
      <c r="DX12" s="517"/>
      <c r="DY12" s="517"/>
      <c r="DZ12" s="517"/>
    </row>
    <row r="13" spans="1:131 2330:2330" s="518" customFormat="1" ht="21" customHeight="1" x14ac:dyDescent="0.2">
      <c r="A13" s="436">
        <v>7</v>
      </c>
      <c r="B13" s="436" t="s">
        <v>128</v>
      </c>
      <c r="C13" s="436" t="s">
        <v>742</v>
      </c>
      <c r="D13" s="436" t="s">
        <v>207</v>
      </c>
      <c r="E13" s="799">
        <v>42522</v>
      </c>
      <c r="F13" s="491">
        <f t="shared" si="2"/>
        <v>40</v>
      </c>
      <c r="G13" s="492">
        <f>IF(VLOOKUP(F13,'he so'!C:D,2,0)=0,0,VLOOKUP(F13,'he so'!C:D,2,0))</f>
        <v>0.03</v>
      </c>
      <c r="H13" s="488">
        <f t="shared" si="3"/>
        <v>3745000</v>
      </c>
      <c r="I13" s="487" t="s">
        <v>667</v>
      </c>
      <c r="J13" s="487">
        <v>1</v>
      </c>
      <c r="K13" s="493">
        <v>3745000</v>
      </c>
      <c r="L13" s="488">
        <f>VLOOKUP(I13,'thang luong moi'!B:I,'BANG LUONG 1'!J13+1,0)</f>
        <v>4213125</v>
      </c>
      <c r="M13" s="489">
        <f>VLOOKUP(C13,CC!$C$5:$AJ$67,34,0)</f>
        <v>24.5</v>
      </c>
      <c r="N13" s="488">
        <f t="shared" si="4"/>
        <v>3970060.096153846</v>
      </c>
      <c r="O13" s="488">
        <f>VLOOKUP(C13,CC!$C$5:$AM$67,36,0)</f>
        <v>1</v>
      </c>
      <c r="P13" s="488">
        <f>VLOOKUP(C13,CC!$C$5:$BS$67,69,0)</f>
        <v>18</v>
      </c>
      <c r="Q13" s="488">
        <f>VLOOKUP(C13,CC!$C$5:$BT$67,70,0)</f>
        <v>8</v>
      </c>
      <c r="R13" s="488">
        <f>VLOOKUP(C13,CC!$C$5:$AM$67,37,0)</f>
        <v>1</v>
      </c>
      <c r="S13" s="488">
        <f>VLOOKUP(C13,CC!$C$5:$AM$67,35,0)</f>
        <v>0</v>
      </c>
      <c r="T13" s="488">
        <f t="shared" si="13"/>
        <v>5165129.2067307681</v>
      </c>
      <c r="U13" s="488">
        <f>VLOOKUP(C13,'Công tổng'!$C$53:$BY$85,75,0)-N13</f>
        <v>7307474.5192307699</v>
      </c>
      <c r="V13" s="666">
        <f t="shared" si="10"/>
        <v>126393.75</v>
      </c>
      <c r="W13" s="488">
        <f t="shared" si="11"/>
        <v>126393.75</v>
      </c>
      <c r="X13" s="666">
        <f>(100%-VLOOKUP(C13,'chuyên cần'!$C$7:$AP$52,40,FALSE))*$X$4</f>
        <v>300000</v>
      </c>
      <c r="Y13" s="488"/>
      <c r="Z13" s="488">
        <f t="shared" si="7"/>
        <v>426393.75</v>
      </c>
      <c r="AA13" s="490">
        <f t="shared" si="12"/>
        <v>12898997.475961538</v>
      </c>
      <c r="AB13" s="669">
        <f>VLOOKUP(C13,'ung luong'!C77:F124,4,0)</f>
        <v>4000000</v>
      </c>
      <c r="AC13" s="490">
        <f t="shared" si="8"/>
        <v>480585</v>
      </c>
      <c r="AD13" s="490">
        <v>4577000</v>
      </c>
      <c r="AE13" s="669">
        <v>100000</v>
      </c>
      <c r="AF13" s="490">
        <f t="shared" si="9"/>
        <v>8418412.475961538</v>
      </c>
      <c r="AG13" s="669">
        <v>0</v>
      </c>
      <c r="AH13" s="669">
        <f>VLOOKUP(C13,CC!$C$5:$BW$50,73,0)*22000</f>
        <v>132000</v>
      </c>
      <c r="AI13" s="490"/>
      <c r="AJ13" s="669">
        <f t="shared" si="14"/>
        <v>8650000</v>
      </c>
      <c r="AK13" s="669">
        <f t="shared" si="15"/>
        <v>8650000</v>
      </c>
      <c r="AL13" s="978"/>
      <c r="AM13" s="978"/>
      <c r="AN13" s="517"/>
      <c r="AO13" s="517"/>
      <c r="AP13" s="517"/>
      <c r="AQ13" s="517"/>
      <c r="AR13" s="517"/>
      <c r="AS13" s="517"/>
      <c r="AT13" s="517"/>
      <c r="AU13" s="517"/>
      <c r="AV13" s="517"/>
      <c r="AW13" s="517"/>
      <c r="AX13" s="517"/>
      <c r="AY13" s="517"/>
      <c r="AZ13" s="517"/>
      <c r="BA13" s="517"/>
      <c r="BB13" s="517"/>
      <c r="BC13" s="517"/>
      <c r="BD13" s="517"/>
      <c r="BE13" s="517"/>
      <c r="BF13" s="517"/>
      <c r="BG13" s="517"/>
      <c r="BH13" s="517"/>
      <c r="BI13" s="517"/>
      <c r="BJ13" s="517"/>
      <c r="BK13" s="517"/>
      <c r="BL13" s="517"/>
      <c r="BM13" s="517"/>
      <c r="BN13" s="517"/>
      <c r="BO13" s="517"/>
      <c r="BP13" s="517"/>
      <c r="BQ13" s="517"/>
      <c r="BR13" s="517"/>
      <c r="BS13" s="517"/>
      <c r="BT13" s="517"/>
      <c r="BU13" s="517"/>
      <c r="BV13" s="517"/>
      <c r="BW13" s="517"/>
      <c r="BX13" s="517"/>
      <c r="BY13" s="517"/>
      <c r="BZ13" s="517"/>
      <c r="CA13" s="517"/>
      <c r="CB13" s="517"/>
      <c r="CC13" s="517"/>
      <c r="CD13" s="517"/>
      <c r="CE13" s="517"/>
      <c r="CF13" s="517"/>
      <c r="CG13" s="517"/>
      <c r="CH13" s="517"/>
      <c r="CI13" s="517"/>
      <c r="CJ13" s="517"/>
      <c r="CK13" s="517"/>
      <c r="CL13" s="517"/>
      <c r="CM13" s="517"/>
      <c r="CN13" s="517"/>
      <c r="CO13" s="517"/>
      <c r="CP13" s="517"/>
      <c r="CQ13" s="517"/>
      <c r="CR13" s="517"/>
      <c r="CS13" s="517"/>
      <c r="CT13" s="517"/>
      <c r="CU13" s="517"/>
      <c r="CV13" s="517"/>
      <c r="CW13" s="517"/>
      <c r="CX13" s="517"/>
      <c r="CY13" s="517"/>
      <c r="CZ13" s="517"/>
      <c r="DA13" s="517"/>
      <c r="DB13" s="517"/>
      <c r="DC13" s="517"/>
      <c r="DD13" s="517"/>
      <c r="DE13" s="517"/>
      <c r="DF13" s="517"/>
      <c r="DG13" s="517"/>
      <c r="DH13" s="517"/>
      <c r="DI13" s="517"/>
      <c r="DJ13" s="517"/>
      <c r="DK13" s="517"/>
      <c r="DL13" s="517"/>
      <c r="DM13" s="517"/>
      <c r="DN13" s="517"/>
      <c r="DO13" s="517"/>
      <c r="DP13" s="517"/>
      <c r="DQ13" s="517"/>
      <c r="DR13" s="517"/>
      <c r="DS13" s="517"/>
      <c r="DT13" s="517"/>
      <c r="DU13" s="517"/>
      <c r="DV13" s="517"/>
      <c r="DW13" s="517"/>
      <c r="DX13" s="517"/>
      <c r="DY13" s="517"/>
      <c r="DZ13" s="517"/>
    </row>
    <row r="14" spans="1:131 2330:2330" s="518" customFormat="1" ht="21" customHeight="1" x14ac:dyDescent="0.2">
      <c r="A14" s="663">
        <v>8</v>
      </c>
      <c r="B14" s="663" t="s">
        <v>129</v>
      </c>
      <c r="C14" s="436" t="s">
        <v>599</v>
      </c>
      <c r="D14" s="436" t="s">
        <v>207</v>
      </c>
      <c r="E14" s="798">
        <v>42415</v>
      </c>
      <c r="F14" s="491">
        <f t="shared" si="2"/>
        <v>44</v>
      </c>
      <c r="G14" s="492">
        <f>IF(VLOOKUP(F14,'he so'!C:D,2,0)=0,0,VLOOKUP(F14,'he so'!C:D,2,0))</f>
        <v>0.03</v>
      </c>
      <c r="H14" s="488">
        <f t="shared" si="3"/>
        <v>3745000</v>
      </c>
      <c r="I14" s="487" t="s">
        <v>667</v>
      </c>
      <c r="J14" s="487">
        <v>1</v>
      </c>
      <c r="K14" s="493">
        <v>3745000</v>
      </c>
      <c r="L14" s="488">
        <f>VLOOKUP(I14,'thang luong moi'!B:I,'BANG LUONG 1'!J14+1,0)</f>
        <v>4213125</v>
      </c>
      <c r="M14" s="489">
        <f>VLOOKUP(C14,CC!$C$5:$AJ$67,34,0)</f>
        <v>26</v>
      </c>
      <c r="N14" s="488">
        <f t="shared" si="4"/>
        <v>4213125</v>
      </c>
      <c r="O14" s="488">
        <f>VLOOKUP(C14,CC!$C$5:$AM$67,36,0)</f>
        <v>0</v>
      </c>
      <c r="P14" s="488">
        <f>VLOOKUP(C14,CC!$C$5:$BS$67,69,0)</f>
        <v>21</v>
      </c>
      <c r="Q14" s="488">
        <f>VLOOKUP(C14,CC!$C$5:$BT$67,70,0)</f>
        <v>8</v>
      </c>
      <c r="R14" s="488">
        <f>VLOOKUP(C14,CC!$C$5:$AM$67,37,0)</f>
        <v>1</v>
      </c>
      <c r="S14" s="488">
        <f>VLOOKUP(C14,CC!$C$5:$AM$67,35,0)</f>
        <v>0</v>
      </c>
      <c r="T14" s="488">
        <f t="shared" si="13"/>
        <v>5337300.180288461</v>
      </c>
      <c r="U14" s="488">
        <f>VLOOKUP(C14,'Công tổng'!$C$53:$BY$85,75,0)-N14</f>
        <v>8593444.551282052</v>
      </c>
      <c r="V14" s="666">
        <f t="shared" si="10"/>
        <v>126393.75</v>
      </c>
      <c r="W14" s="488">
        <f t="shared" si="11"/>
        <v>126393.75</v>
      </c>
      <c r="X14" s="666">
        <f>(100%-VLOOKUP(C14,'chuyên cần'!$C$7:$AP$52,40,FALSE))*$X$4</f>
        <v>300000</v>
      </c>
      <c r="Y14" s="488"/>
      <c r="Z14" s="488">
        <f t="shared" si="7"/>
        <v>426393.75</v>
      </c>
      <c r="AA14" s="490">
        <f t="shared" si="12"/>
        <v>14357138.481570512</v>
      </c>
      <c r="AB14" s="669">
        <f>VLOOKUP(C14,'ung luong'!C78:F125,4,0)</f>
        <v>0</v>
      </c>
      <c r="AC14" s="490">
        <f t="shared" si="8"/>
        <v>480585</v>
      </c>
      <c r="AD14" s="490">
        <v>4577000</v>
      </c>
      <c r="AE14" s="669">
        <v>100000</v>
      </c>
      <c r="AF14" s="490">
        <f t="shared" si="9"/>
        <v>13876553.481570512</v>
      </c>
      <c r="AG14" s="669">
        <v>0</v>
      </c>
      <c r="AH14" s="669">
        <f>VLOOKUP(C14,CC!$C$5:$BW$50,73,0)*22000</f>
        <v>154000</v>
      </c>
      <c r="AI14" s="490"/>
      <c r="AJ14" s="669">
        <f t="shared" si="14"/>
        <v>14131000</v>
      </c>
      <c r="AK14" s="669">
        <f t="shared" si="15"/>
        <v>14131000</v>
      </c>
      <c r="AL14" s="978"/>
      <c r="AM14" s="978"/>
      <c r="AN14" s="517"/>
      <c r="AO14" s="517"/>
      <c r="AP14" s="517"/>
      <c r="AQ14" s="517"/>
      <c r="AR14" s="517"/>
      <c r="AS14" s="517"/>
      <c r="AT14" s="517"/>
      <c r="AU14" s="517"/>
      <c r="AV14" s="517"/>
      <c r="AW14" s="517"/>
      <c r="AX14" s="517"/>
      <c r="AY14" s="517"/>
      <c r="AZ14" s="517"/>
      <c r="BA14" s="517"/>
      <c r="BB14" s="517"/>
      <c r="BC14" s="517"/>
      <c r="BD14" s="517"/>
      <c r="BE14" s="517"/>
      <c r="BF14" s="517"/>
      <c r="BG14" s="517"/>
      <c r="BH14" s="517"/>
      <c r="BI14" s="517"/>
      <c r="BJ14" s="517"/>
      <c r="BK14" s="517"/>
      <c r="BL14" s="517"/>
      <c r="BM14" s="517"/>
      <c r="BN14" s="517"/>
      <c r="BO14" s="517"/>
      <c r="BP14" s="517"/>
      <c r="BQ14" s="517"/>
      <c r="BR14" s="517"/>
      <c r="BS14" s="517"/>
      <c r="BT14" s="517"/>
      <c r="BU14" s="517"/>
      <c r="BV14" s="517"/>
      <c r="BW14" s="517"/>
      <c r="BX14" s="517"/>
      <c r="BY14" s="517"/>
      <c r="BZ14" s="517"/>
      <c r="CA14" s="517"/>
      <c r="CB14" s="517"/>
      <c r="CC14" s="517"/>
      <c r="CD14" s="517"/>
      <c r="CE14" s="517"/>
      <c r="CF14" s="517"/>
      <c r="CG14" s="517"/>
      <c r="CH14" s="517"/>
      <c r="CI14" s="517"/>
      <c r="CJ14" s="517"/>
      <c r="CK14" s="517"/>
      <c r="CL14" s="517"/>
      <c r="CM14" s="517"/>
      <c r="CN14" s="517"/>
      <c r="CO14" s="517"/>
      <c r="CP14" s="517"/>
      <c r="CQ14" s="517"/>
      <c r="CR14" s="517"/>
      <c r="CS14" s="517"/>
      <c r="CT14" s="517"/>
      <c r="CU14" s="517"/>
      <c r="CV14" s="517"/>
      <c r="CW14" s="517"/>
      <c r="CX14" s="517"/>
      <c r="CY14" s="517"/>
      <c r="CZ14" s="517"/>
      <c r="DA14" s="517"/>
      <c r="DB14" s="517"/>
      <c r="DC14" s="517"/>
      <c r="DD14" s="517"/>
      <c r="DE14" s="517"/>
      <c r="DF14" s="517"/>
      <c r="DG14" s="517"/>
      <c r="DH14" s="517"/>
      <c r="DI14" s="517"/>
      <c r="DJ14" s="517"/>
      <c r="DK14" s="517"/>
      <c r="DL14" s="517"/>
      <c r="DM14" s="517"/>
      <c r="DN14" s="517"/>
      <c r="DO14" s="517"/>
      <c r="DP14" s="517"/>
      <c r="DQ14" s="517"/>
      <c r="DR14" s="517"/>
      <c r="DS14" s="517"/>
      <c r="DT14" s="517"/>
      <c r="DU14" s="517"/>
      <c r="DV14" s="517"/>
      <c r="DW14" s="517"/>
      <c r="DX14" s="517"/>
      <c r="DY14" s="517"/>
      <c r="DZ14" s="517"/>
    </row>
    <row r="15" spans="1:131 2330:2330" s="518" customFormat="1" ht="21" customHeight="1" x14ac:dyDescent="0.2">
      <c r="A15" s="436">
        <v>9</v>
      </c>
      <c r="B15" s="663" t="s">
        <v>163</v>
      </c>
      <c r="C15" s="436" t="s">
        <v>886</v>
      </c>
      <c r="D15" s="436" t="s">
        <v>207</v>
      </c>
      <c r="E15" s="798">
        <v>43619</v>
      </c>
      <c r="F15" s="491">
        <f t="shared" ref="F15:F16" si="16">IF(IF(E15="",0,ROUND(($P$3-E15)/30,0))&lt;0,0,IF(E15="",0,ROUND(($P$3-E15)/30,0)))</f>
        <v>4</v>
      </c>
      <c r="G15" s="492">
        <f>IF(VLOOKUP(F15,'he so'!C:D,2,0)=0,0,VLOOKUP(F15,'he so'!C:D,2,0))</f>
        <v>0</v>
      </c>
      <c r="H15" s="488">
        <f t="shared" si="3"/>
        <v>3745000</v>
      </c>
      <c r="I15" s="487" t="s">
        <v>667</v>
      </c>
      <c r="J15" s="487">
        <v>1</v>
      </c>
      <c r="K15" s="493">
        <v>3745000</v>
      </c>
      <c r="L15" s="488">
        <f>VLOOKUP(I15,'thang luong moi'!B:I,'BANG LUONG 1'!J15+1,0)</f>
        <v>4213125</v>
      </c>
      <c r="M15" s="489">
        <f>VLOOKUP(C15,CC!$C$5:$AJ$67,34,0)</f>
        <v>26</v>
      </c>
      <c r="N15" s="488">
        <f t="shared" ref="N15:N16" si="17">L15/$N$2*M15</f>
        <v>4213125</v>
      </c>
      <c r="O15" s="488">
        <f>VLOOKUP(C15,CC!$C$5:$AM$67,36,0)</f>
        <v>0</v>
      </c>
      <c r="P15" s="488">
        <f>VLOOKUP(C15,CC!$C$5:$BS$67,69,0)</f>
        <v>18</v>
      </c>
      <c r="Q15" s="488">
        <f>VLOOKUP(C15,CC!$C$5:$BT$67,70,0)</f>
        <v>16</v>
      </c>
      <c r="R15" s="488">
        <f>VLOOKUP(C15,CC!$C$5:$AM$67,37,0)</f>
        <v>1</v>
      </c>
      <c r="S15" s="488">
        <f>VLOOKUP(C15,CC!$C$5:$AM$67,35,0)</f>
        <v>0</v>
      </c>
      <c r="T15" s="488">
        <f t="shared" ref="T15:T16" si="18">((L15/$N$2)*M15)+(O15*(L15/$N$2))+((P15/8)*1.5*(L15/$N$2))+((Q15/8)*2*L15/$N$2)+(S15*3*(L15/$N$2)+(L15/$N$2)*R15)</f>
        <v>5570237.379807692</v>
      </c>
      <c r="U15" s="488">
        <f>VLOOKUP(C15,'Công tổng'!$C$53:$BY$85,75,0)-N15</f>
        <v>8277233.0128205121</v>
      </c>
      <c r="V15" s="666">
        <f t="shared" ref="V15:V16" si="19">+L15*G15</f>
        <v>0</v>
      </c>
      <c r="W15" s="488">
        <f t="shared" ref="W15:W16" si="20">(L15)*G15</f>
        <v>0</v>
      </c>
      <c r="X15" s="666">
        <f>(100%-VLOOKUP(C15,'chuyên cần'!$C$7:$AP$52,40,FALSE))*$X$4</f>
        <v>300000</v>
      </c>
      <c r="Y15" s="488"/>
      <c r="Z15" s="488">
        <f t="shared" ref="Z15:Z16" si="21">SUM(W15:Y15)</f>
        <v>300000</v>
      </c>
      <c r="AA15" s="490">
        <f t="shared" ref="AA15:AA16" si="22">Z15+U15+T15</f>
        <v>14147470.392628204</v>
      </c>
      <c r="AB15" s="669">
        <f>VLOOKUP(C15,'ung luong'!C79:F126,4,0)</f>
        <v>0</v>
      </c>
      <c r="AC15" s="490">
        <f t="shared" ref="AC15:AC16" si="23">AD15*$AC$3</f>
        <v>0</v>
      </c>
      <c r="AD15" s="490"/>
      <c r="AE15" s="669">
        <v>100000</v>
      </c>
      <c r="AF15" s="490">
        <f t="shared" ref="AF15:AF16" si="24">AA15-AB15-AC15</f>
        <v>14147470.392628204</v>
      </c>
      <c r="AG15" s="669">
        <v>0</v>
      </c>
      <c r="AH15" s="669">
        <f>VLOOKUP(C15,CC!$C$5:$BW$50,73,0)*22000</f>
        <v>132000</v>
      </c>
      <c r="AI15" s="490"/>
      <c r="AJ15" s="669">
        <f t="shared" ref="AJ15:AJ16" si="25">ROUND(AF15,-3)+AI15+AG15+AH15+AE15</f>
        <v>14379000</v>
      </c>
      <c r="AK15" s="669">
        <f t="shared" ref="AK15:AK16" si="26">ROUND(AF15,-3)+AE15+AH15</f>
        <v>14379000</v>
      </c>
      <c r="AL15" s="978"/>
      <c r="AM15" s="978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17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17"/>
      <c r="BV15" s="517"/>
      <c r="BW15" s="517"/>
      <c r="BX15" s="517"/>
      <c r="BY15" s="517"/>
      <c r="BZ15" s="517"/>
      <c r="CA15" s="517"/>
      <c r="CB15" s="517"/>
      <c r="CC15" s="517"/>
      <c r="CD15" s="517"/>
      <c r="CE15" s="517"/>
      <c r="CF15" s="517"/>
      <c r="CG15" s="517"/>
      <c r="CH15" s="517"/>
      <c r="CI15" s="517"/>
      <c r="CJ15" s="517"/>
      <c r="CK15" s="517"/>
      <c r="CL15" s="517"/>
      <c r="CM15" s="517"/>
      <c r="CN15" s="517"/>
      <c r="CO15" s="517"/>
      <c r="CP15" s="517"/>
      <c r="CQ15" s="517"/>
      <c r="CR15" s="517"/>
      <c r="CS15" s="517"/>
      <c r="CT15" s="517"/>
      <c r="CU15" s="517"/>
      <c r="CV15" s="517"/>
      <c r="CW15" s="517"/>
      <c r="CX15" s="517"/>
      <c r="CY15" s="517"/>
      <c r="CZ15" s="517"/>
      <c r="DA15" s="517"/>
      <c r="DB15" s="517"/>
      <c r="DC15" s="517"/>
      <c r="DD15" s="517"/>
      <c r="DE15" s="517"/>
      <c r="DF15" s="517"/>
      <c r="DG15" s="517"/>
      <c r="DH15" s="517"/>
      <c r="DI15" s="517"/>
      <c r="DJ15" s="517"/>
      <c r="DK15" s="517"/>
      <c r="DL15" s="517"/>
      <c r="DM15" s="517"/>
      <c r="DN15" s="517"/>
      <c r="DO15" s="517"/>
      <c r="DP15" s="517"/>
      <c r="DQ15" s="517"/>
      <c r="DR15" s="517"/>
      <c r="DS15" s="517"/>
      <c r="DT15" s="517"/>
      <c r="DU15" s="517"/>
      <c r="DV15" s="517"/>
      <c r="DW15" s="517"/>
      <c r="DX15" s="517"/>
      <c r="DY15" s="517"/>
      <c r="DZ15" s="517"/>
    </row>
    <row r="16" spans="1:131 2330:2330" s="518" customFormat="1" ht="21" customHeight="1" x14ac:dyDescent="0.2">
      <c r="A16" s="436">
        <v>10</v>
      </c>
      <c r="B16" s="663" t="s">
        <v>164</v>
      </c>
      <c r="C16" s="436" t="s">
        <v>887</v>
      </c>
      <c r="D16" s="436" t="s">
        <v>207</v>
      </c>
      <c r="E16" s="798">
        <v>43620</v>
      </c>
      <c r="F16" s="491">
        <f t="shared" si="16"/>
        <v>4</v>
      </c>
      <c r="G16" s="492">
        <f>IF(VLOOKUP(F16,'he so'!C:D,2,0)=0,0,VLOOKUP(F16,'he so'!C:D,2,0))</f>
        <v>0</v>
      </c>
      <c r="H16" s="488">
        <f t="shared" si="3"/>
        <v>3745000</v>
      </c>
      <c r="I16" s="487" t="s">
        <v>667</v>
      </c>
      <c r="J16" s="487">
        <v>1</v>
      </c>
      <c r="K16" s="493">
        <v>3745000</v>
      </c>
      <c r="L16" s="488">
        <f>VLOOKUP(I16,'thang luong moi'!B:I,'BANG LUONG 1'!J16+1,0)</f>
        <v>4213125</v>
      </c>
      <c r="M16" s="489">
        <f>VLOOKUP(C16,CC!$C$5:$AJ$67,34,0)</f>
        <v>0</v>
      </c>
      <c r="N16" s="488">
        <f t="shared" si="17"/>
        <v>0</v>
      </c>
      <c r="O16" s="488">
        <f>VLOOKUP(C16,CC!$C$5:$AM$67,36,0)</f>
        <v>0</v>
      </c>
      <c r="P16" s="488">
        <f>VLOOKUP(C16,CC!$C$5:$BS$67,69,0)</f>
        <v>0</v>
      </c>
      <c r="Q16" s="488">
        <f>VLOOKUP(C16,CC!$C$5:$BT$67,70,0)</f>
        <v>0</v>
      </c>
      <c r="R16" s="488">
        <f>VLOOKUP(C16,CC!$C$5:$AM$67,37,0)</f>
        <v>0</v>
      </c>
      <c r="S16" s="488">
        <f>VLOOKUP(C16,CC!$C$5:$AM$67,35,0)</f>
        <v>0</v>
      </c>
      <c r="T16" s="488">
        <f t="shared" si="18"/>
        <v>0</v>
      </c>
      <c r="U16" s="488">
        <f>VLOOKUP(C16,'Công tổng'!$C$53:$BY$85,75,0)-N16</f>
        <v>0</v>
      </c>
      <c r="V16" s="666">
        <f t="shared" si="19"/>
        <v>0</v>
      </c>
      <c r="W16" s="488">
        <f t="shared" si="20"/>
        <v>0</v>
      </c>
      <c r="X16" s="666">
        <f>(100%-VLOOKUP(C16,'chuyên cần'!$C$7:$AP$52,40,FALSE))*$X$4</f>
        <v>0</v>
      </c>
      <c r="Y16" s="488"/>
      <c r="Z16" s="488">
        <f t="shared" si="21"/>
        <v>0</v>
      </c>
      <c r="AA16" s="490">
        <f t="shared" si="22"/>
        <v>0</v>
      </c>
      <c r="AB16" s="669">
        <v>0</v>
      </c>
      <c r="AC16" s="490">
        <f t="shared" si="23"/>
        <v>0</v>
      </c>
      <c r="AD16" s="490"/>
      <c r="AE16" s="669">
        <v>0</v>
      </c>
      <c r="AF16" s="490">
        <f t="shared" si="24"/>
        <v>0</v>
      </c>
      <c r="AG16" s="669">
        <v>0</v>
      </c>
      <c r="AH16" s="669">
        <f>VLOOKUP(C16,CC!$C$5:$BW$50,73,0)*22000</f>
        <v>0</v>
      </c>
      <c r="AI16" s="490"/>
      <c r="AJ16" s="669">
        <f t="shared" si="25"/>
        <v>0</v>
      </c>
      <c r="AK16" s="669">
        <f t="shared" si="26"/>
        <v>0</v>
      </c>
      <c r="AL16" s="978"/>
      <c r="AM16" s="978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17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17"/>
      <c r="BV16" s="517"/>
      <c r="BW16" s="517"/>
      <c r="BX16" s="517"/>
      <c r="BY16" s="517"/>
      <c r="BZ16" s="517"/>
      <c r="CA16" s="517"/>
      <c r="CB16" s="517"/>
      <c r="CC16" s="517"/>
      <c r="CD16" s="517"/>
      <c r="CE16" s="517"/>
      <c r="CF16" s="517"/>
      <c r="CG16" s="517"/>
      <c r="CH16" s="517"/>
      <c r="CI16" s="517"/>
      <c r="CJ16" s="517"/>
      <c r="CK16" s="517"/>
      <c r="CL16" s="517"/>
      <c r="CM16" s="517"/>
      <c r="CN16" s="517"/>
      <c r="CO16" s="517"/>
      <c r="CP16" s="517"/>
      <c r="CQ16" s="517"/>
      <c r="CR16" s="517"/>
      <c r="CS16" s="517"/>
      <c r="CT16" s="517"/>
      <c r="CU16" s="517"/>
      <c r="CV16" s="517"/>
      <c r="CW16" s="517"/>
      <c r="CX16" s="517"/>
      <c r="CY16" s="517"/>
      <c r="CZ16" s="517"/>
      <c r="DA16" s="517"/>
      <c r="DB16" s="517"/>
      <c r="DC16" s="517"/>
      <c r="DD16" s="517"/>
      <c r="DE16" s="517"/>
      <c r="DF16" s="517"/>
      <c r="DG16" s="517"/>
      <c r="DH16" s="517"/>
      <c r="DI16" s="517"/>
      <c r="DJ16" s="517"/>
      <c r="DK16" s="517"/>
      <c r="DL16" s="517"/>
      <c r="DM16" s="517"/>
      <c r="DN16" s="517"/>
      <c r="DO16" s="517"/>
      <c r="DP16" s="517"/>
      <c r="DQ16" s="517"/>
      <c r="DR16" s="517"/>
      <c r="DS16" s="517"/>
      <c r="DT16" s="517"/>
      <c r="DU16" s="517"/>
      <c r="DV16" s="517"/>
      <c r="DW16" s="517"/>
      <c r="DX16" s="517"/>
      <c r="DY16" s="517"/>
      <c r="DZ16" s="517"/>
    </row>
    <row r="17" spans="1:131 2330:2330" s="574" customFormat="1" ht="21" customHeight="1" x14ac:dyDescent="0.2">
      <c r="A17" s="663">
        <v>11</v>
      </c>
      <c r="B17" s="436" t="s">
        <v>155</v>
      </c>
      <c r="C17" s="436" t="s">
        <v>620</v>
      </c>
      <c r="D17" s="436" t="s">
        <v>207</v>
      </c>
      <c r="E17" s="486">
        <v>42422</v>
      </c>
      <c r="F17" s="491">
        <f>IF(IF(E17="",0,ROUND(($P$3-E17)/30,0))&lt;0,0,IF(E17="",0,ROUND(($P$3-E17)/30,0)))</f>
        <v>44</v>
      </c>
      <c r="G17" s="492">
        <f>IF(VLOOKUP(F17,'he so'!C:D,2,0)=0,0,VLOOKUP(F17,'he so'!C:D,2,0))</f>
        <v>0.03</v>
      </c>
      <c r="H17" s="488">
        <f t="shared" si="3"/>
        <v>3745000</v>
      </c>
      <c r="I17" s="487" t="s">
        <v>667</v>
      </c>
      <c r="J17" s="487">
        <v>1</v>
      </c>
      <c r="K17" s="493">
        <v>3745000</v>
      </c>
      <c r="L17" s="488">
        <f>VLOOKUP(I17,'thang luong moi'!B:I,'BANG LUONG 1'!J17+1,0)</f>
        <v>4213125</v>
      </c>
      <c r="M17" s="489">
        <f>VLOOKUP(C17,CC!$C$5:$AJ$67,34,0)</f>
        <v>26</v>
      </c>
      <c r="N17" s="488">
        <f>L17/$N$2*M17</f>
        <v>4213125</v>
      </c>
      <c r="O17" s="488">
        <f>VLOOKUP(C17,CC!$C$5:$AM$67,36,0)</f>
        <v>0</v>
      </c>
      <c r="P17" s="488">
        <f>VLOOKUP(C17,CC!$C$5:$BS$67,69,0)</f>
        <v>21</v>
      </c>
      <c r="Q17" s="488">
        <f>VLOOKUP(C17,CC!$C$5:$BT$67,70,0)</f>
        <v>16</v>
      </c>
      <c r="R17" s="488">
        <f>VLOOKUP(C17,CC!$C$5:$AM$67,37,0)</f>
        <v>1</v>
      </c>
      <c r="S17" s="488">
        <f>VLOOKUP(C17,CC!$C$5:$AM$67,35,0)</f>
        <v>0</v>
      </c>
      <c r="T17" s="488">
        <f>((L17/$N$2)*M17)+(O17*(L17/$N$2))+((P17/8)*1.5*(L17/$N$2))+((Q17/8)*2*L17/$N$2)+(S17*3*(L17/$N$2)+(L17/$N$2)*R17)</f>
        <v>5661386.71875</v>
      </c>
      <c r="U17" s="488">
        <f>VLOOKUP(C17,'Công tổng'!$C$53:$BY$94,75,0)-N17</f>
        <v>8352203.8461538479</v>
      </c>
      <c r="V17" s="666">
        <f>+L17*G17</f>
        <v>126393.75</v>
      </c>
      <c r="W17" s="488">
        <f>(L17)*G17</f>
        <v>126393.75</v>
      </c>
      <c r="X17" s="666">
        <f>(100%-VLOOKUP(C17,'chuyên cần'!$C$7:$AP$52,40,FALSE))*$X$4</f>
        <v>300000</v>
      </c>
      <c r="Y17" s="488"/>
      <c r="Z17" s="488">
        <f>SUM(W17:Y17)</f>
        <v>426393.75</v>
      </c>
      <c r="AA17" s="490">
        <f>Z17+U17+T17</f>
        <v>14439984.314903848</v>
      </c>
      <c r="AB17" s="669">
        <f>VLOOKUP(C17,'ung luong'!C81:F124,4,0)</f>
        <v>3000000</v>
      </c>
      <c r="AC17" s="490">
        <f>AD17*$AC$3</f>
        <v>480585</v>
      </c>
      <c r="AD17" s="490">
        <v>4577000</v>
      </c>
      <c r="AE17" s="669">
        <v>100000</v>
      </c>
      <c r="AF17" s="490">
        <f>AA17-AB17-AC17</f>
        <v>10959399.314903848</v>
      </c>
      <c r="AG17" s="669">
        <v>0</v>
      </c>
      <c r="AH17" s="669">
        <f>VLOOKUP(C17,CC!$C$5:$BW$50,73,0)*22000</f>
        <v>154000</v>
      </c>
      <c r="AI17" s="490"/>
      <c r="AJ17" s="490">
        <f>ROUND(AF17,-3)+AI17+AG17+AH17+AE17</f>
        <v>11213000</v>
      </c>
      <c r="AK17" s="669">
        <f>ROUND(AF17,-3)+AE17+AH17</f>
        <v>11213000</v>
      </c>
      <c r="AL17" s="990"/>
      <c r="AM17" s="989"/>
      <c r="AN17" s="573"/>
      <c r="AO17" s="573"/>
      <c r="AP17" s="573"/>
      <c r="AQ17" s="573"/>
      <c r="AR17" s="573"/>
      <c r="AS17" s="573"/>
      <c r="AT17" s="573"/>
      <c r="AU17" s="573"/>
      <c r="AV17" s="573"/>
      <c r="AW17" s="573"/>
      <c r="AX17" s="573"/>
      <c r="AY17" s="573"/>
      <c r="AZ17" s="573"/>
      <c r="BA17" s="573"/>
      <c r="BB17" s="573"/>
      <c r="BC17" s="573"/>
      <c r="BD17" s="573"/>
      <c r="BE17" s="573"/>
      <c r="BF17" s="573"/>
      <c r="BG17" s="573"/>
      <c r="BH17" s="573"/>
      <c r="BI17" s="573"/>
      <c r="BJ17" s="573"/>
      <c r="BK17" s="573"/>
      <c r="BL17" s="573"/>
      <c r="BM17" s="573"/>
      <c r="BN17" s="573"/>
      <c r="BO17" s="573"/>
      <c r="BP17" s="573"/>
      <c r="BQ17" s="573"/>
      <c r="BR17" s="573"/>
      <c r="BS17" s="573"/>
      <c r="BT17" s="573"/>
      <c r="BU17" s="573"/>
      <c r="BV17" s="573"/>
      <c r="BW17" s="573"/>
      <c r="BX17" s="573"/>
      <c r="BY17" s="573"/>
      <c r="BZ17" s="573"/>
      <c r="CA17" s="573"/>
      <c r="CB17" s="573"/>
      <c r="CC17" s="573"/>
      <c r="CD17" s="573"/>
      <c r="CE17" s="573"/>
      <c r="CF17" s="573"/>
      <c r="CG17" s="573"/>
      <c r="CH17" s="573"/>
      <c r="CI17" s="573"/>
      <c r="CJ17" s="573"/>
      <c r="CK17" s="573"/>
      <c r="CL17" s="573"/>
      <c r="CM17" s="573"/>
      <c r="CN17" s="573"/>
      <c r="CO17" s="573"/>
      <c r="CP17" s="573"/>
      <c r="CQ17" s="573"/>
      <c r="CR17" s="573"/>
      <c r="CS17" s="573"/>
      <c r="CT17" s="573"/>
      <c r="CU17" s="573"/>
      <c r="CV17" s="573"/>
      <c r="CW17" s="573"/>
      <c r="CX17" s="573"/>
      <c r="CY17" s="573"/>
      <c r="CZ17" s="573"/>
      <c r="DA17" s="573"/>
      <c r="DB17" s="573"/>
      <c r="DC17" s="573"/>
      <c r="DD17" s="573"/>
      <c r="DE17" s="573"/>
      <c r="DF17" s="573"/>
      <c r="DG17" s="573"/>
      <c r="DH17" s="573"/>
      <c r="DI17" s="573"/>
      <c r="DJ17" s="573"/>
      <c r="DK17" s="573"/>
      <c r="DL17" s="573"/>
      <c r="DM17" s="573"/>
      <c r="DN17" s="573"/>
      <c r="DO17" s="573"/>
      <c r="DP17" s="573"/>
      <c r="DQ17" s="573"/>
      <c r="DR17" s="573"/>
      <c r="DS17" s="573"/>
      <c r="DT17" s="573"/>
      <c r="DU17" s="573"/>
      <c r="DV17" s="573"/>
      <c r="DW17" s="573"/>
      <c r="DX17" s="573"/>
      <c r="DY17" s="573"/>
      <c r="DZ17" s="573"/>
      <c r="CKP17" s="518"/>
    </row>
    <row r="18" spans="1:131 2330:2330" s="518" customFormat="1" ht="21" customHeight="1" x14ac:dyDescent="0.2">
      <c r="A18" s="436">
        <v>12</v>
      </c>
      <c r="B18" s="436" t="s">
        <v>146</v>
      </c>
      <c r="C18" s="436" t="s">
        <v>773</v>
      </c>
      <c r="D18" s="436" t="s">
        <v>206</v>
      </c>
      <c r="E18" s="486">
        <v>41640</v>
      </c>
      <c r="F18" s="491">
        <f>IF(IF(E18="",0,ROUND(($P$3-E18)/30,0))&lt;0,0,IF(E18="",0,ROUND(($P$3-E18)/30,0)))</f>
        <v>70</v>
      </c>
      <c r="G18" s="492">
        <f>IF(VLOOKUP(F18,'he so'!C:D,2,0)=0,0,VLOOKUP(F18,'he so'!C:D,2,0))</f>
        <v>0.05</v>
      </c>
      <c r="H18" s="488">
        <f t="shared" si="3"/>
        <v>3745000</v>
      </c>
      <c r="I18" s="487" t="s">
        <v>661</v>
      </c>
      <c r="J18" s="487">
        <v>1</v>
      </c>
      <c r="K18" s="493">
        <v>3745000</v>
      </c>
      <c r="L18" s="488">
        <f>VLOOKUP(I18,'thang luong moi'!B:I,'BANG LUONG 1'!J18+1,0)</f>
        <v>4413750</v>
      </c>
      <c r="M18" s="489">
        <f>VLOOKUP(C18,CC!$C$5:$AJ$67,34,0)</f>
        <v>25</v>
      </c>
      <c r="N18" s="488">
        <f>L18/$N$2*M18</f>
        <v>4243990.384615384</v>
      </c>
      <c r="O18" s="488">
        <f>VLOOKUP(C18,CC!$C$5:$AM$67,36,0)</f>
        <v>1</v>
      </c>
      <c r="P18" s="488">
        <f>VLOOKUP(C18,CC!$C$5:$BS$67,69,0)</f>
        <v>24</v>
      </c>
      <c r="Q18" s="488">
        <f>VLOOKUP(C18,CC!$C$5:$BT$67,70,0)</f>
        <v>16</v>
      </c>
      <c r="R18" s="488">
        <f>VLOOKUP(C18,CC!$C$5:$AM$67,37,0)</f>
        <v>1</v>
      </c>
      <c r="S18" s="488">
        <f>VLOOKUP(C18,CC!$C$5:$AM$67,35,0)</f>
        <v>0</v>
      </c>
      <c r="T18" s="488">
        <f>((L18/$N$2)*M18)+(O18*(L18/$N$2))+((P18/8)*1.5*(L18/$N$2))+((Q18/8)*2*L18/$N$2)+(S18*3*(L18/$N$2)+(L18/$N$2)*R18)</f>
        <v>6026466.3461538451</v>
      </c>
      <c r="U18" s="488">
        <f>VLOOKUP(C18,'Công tổng'!$C$53:$BY$85,75,0)-N18</f>
        <v>8323813.4615384638</v>
      </c>
      <c r="V18" s="666">
        <f>+L18*G18</f>
        <v>220687.5</v>
      </c>
      <c r="W18" s="488">
        <f>(L18)*G18</f>
        <v>220687.5</v>
      </c>
      <c r="X18" s="666">
        <f>(100%-VLOOKUP(C18,'chuyên cần'!$C$7:$AP$52,40,FALSE))*$X$4</f>
        <v>300000</v>
      </c>
      <c r="Y18" s="488"/>
      <c r="Z18" s="488">
        <f>SUM(W18:Y18)</f>
        <v>520687.5</v>
      </c>
      <c r="AA18" s="490">
        <f>Z18+U18+T18</f>
        <v>14870967.307692308</v>
      </c>
      <c r="AB18" s="669">
        <f>VLOOKUP(C18,'ung luong'!C82:F148,4,0)</f>
        <v>3000000</v>
      </c>
      <c r="AC18" s="490">
        <f>AD18*$AC$3</f>
        <v>480585</v>
      </c>
      <c r="AD18" s="669">
        <v>4577000</v>
      </c>
      <c r="AE18" s="669">
        <v>100000</v>
      </c>
      <c r="AF18" s="490">
        <f>AA18-AB18-AC18</f>
        <v>11390382.307692308</v>
      </c>
      <c r="AG18" s="669">
        <v>0</v>
      </c>
      <c r="AH18" s="669">
        <f>VLOOKUP(C18,CC!$C$5:$BW$50,73,0)*22000</f>
        <v>176000</v>
      </c>
      <c r="AI18" s="490"/>
      <c r="AJ18" s="490">
        <f>ROUND(AF18,-3)+AI18+AG18+AH18+AE18</f>
        <v>11666000</v>
      </c>
      <c r="AK18" s="669">
        <f>ROUND(AF18,-3)+AE18+AH18</f>
        <v>11666000</v>
      </c>
      <c r="AL18" s="978"/>
      <c r="AM18" s="978"/>
      <c r="AN18" s="517"/>
      <c r="AO18" s="517"/>
      <c r="AP18" s="517"/>
      <c r="AQ18" s="517"/>
      <c r="AR18" s="517"/>
      <c r="AS18" s="517"/>
      <c r="AT18" s="517"/>
      <c r="AU18" s="517"/>
      <c r="AV18" s="517"/>
      <c r="AW18" s="517"/>
      <c r="AX18" s="517"/>
      <c r="AY18" s="517"/>
      <c r="AZ18" s="517"/>
      <c r="BA18" s="517"/>
      <c r="BB18" s="517"/>
      <c r="BC18" s="517"/>
      <c r="BD18" s="517"/>
      <c r="BE18" s="517"/>
      <c r="BF18" s="517"/>
      <c r="BG18" s="517"/>
      <c r="BH18" s="517"/>
      <c r="BI18" s="517"/>
      <c r="BJ18" s="517"/>
      <c r="BK18" s="517"/>
      <c r="BL18" s="517"/>
      <c r="BM18" s="517"/>
      <c r="BN18" s="517"/>
      <c r="BO18" s="517"/>
      <c r="BP18" s="517"/>
      <c r="BQ18" s="517"/>
      <c r="BR18" s="517"/>
      <c r="BS18" s="517"/>
      <c r="BT18" s="517"/>
      <c r="BU18" s="517"/>
      <c r="BV18" s="517"/>
      <c r="BW18" s="517"/>
      <c r="BX18" s="517"/>
      <c r="BY18" s="517"/>
      <c r="BZ18" s="517"/>
      <c r="CA18" s="517"/>
      <c r="CB18" s="517"/>
      <c r="CC18" s="517"/>
      <c r="CD18" s="517"/>
      <c r="CE18" s="517"/>
      <c r="CF18" s="517"/>
      <c r="CG18" s="517"/>
      <c r="CH18" s="517"/>
      <c r="CI18" s="517"/>
      <c r="CJ18" s="517"/>
      <c r="CK18" s="517"/>
      <c r="CL18" s="517"/>
      <c r="CM18" s="517"/>
      <c r="CN18" s="517"/>
      <c r="CO18" s="517"/>
      <c r="CP18" s="517"/>
      <c r="CQ18" s="517"/>
      <c r="CR18" s="517"/>
      <c r="CS18" s="517"/>
      <c r="CT18" s="517"/>
      <c r="CU18" s="517"/>
      <c r="CV18" s="517"/>
      <c r="CW18" s="517"/>
      <c r="CX18" s="517"/>
      <c r="CY18" s="517"/>
      <c r="CZ18" s="517"/>
      <c r="DA18" s="517"/>
      <c r="DB18" s="517"/>
      <c r="DC18" s="517"/>
      <c r="DD18" s="517"/>
      <c r="DE18" s="517"/>
      <c r="DF18" s="517"/>
      <c r="DG18" s="517"/>
      <c r="DH18" s="517"/>
      <c r="DI18" s="517"/>
      <c r="DJ18" s="517"/>
      <c r="DK18" s="517"/>
      <c r="DL18" s="517"/>
      <c r="DM18" s="517"/>
      <c r="DN18" s="517"/>
      <c r="DO18" s="517"/>
      <c r="DP18" s="517"/>
      <c r="DQ18" s="517"/>
      <c r="DR18" s="517"/>
      <c r="DS18" s="517"/>
      <c r="DT18" s="517"/>
      <c r="DU18" s="517"/>
      <c r="DV18" s="517"/>
      <c r="DW18" s="517"/>
      <c r="DX18" s="517"/>
      <c r="DY18" s="517"/>
      <c r="DZ18" s="517"/>
    </row>
    <row r="19" spans="1:131 2330:2330" s="405" customFormat="1" ht="22.5" customHeight="1" x14ac:dyDescent="0.2">
      <c r="A19" s="425" t="s">
        <v>18</v>
      </c>
      <c r="B19" s="425"/>
      <c r="C19" s="425" t="s">
        <v>735</v>
      </c>
      <c r="D19" s="425"/>
      <c r="E19" s="425"/>
      <c r="F19" s="425"/>
      <c r="G19" s="481"/>
      <c r="H19" s="482"/>
      <c r="I19" s="483"/>
      <c r="J19" s="483"/>
      <c r="K19" s="483"/>
      <c r="L19" s="483"/>
      <c r="M19" s="494"/>
      <c r="N19" s="482"/>
      <c r="O19" s="482"/>
      <c r="P19" s="482"/>
      <c r="Q19" s="482"/>
      <c r="R19" s="482"/>
      <c r="S19" s="482"/>
      <c r="T19" s="485"/>
      <c r="U19" s="485"/>
      <c r="V19" s="485"/>
      <c r="W19" s="485"/>
      <c r="X19" s="485"/>
      <c r="Y19" s="485">
        <v>0</v>
      </c>
      <c r="Z19" s="485">
        <v>0</v>
      </c>
      <c r="AA19" s="485">
        <f>SUM(AA20:AA38)</f>
        <v>190538651.6383765</v>
      </c>
      <c r="AB19" s="485">
        <f t="shared" ref="AB19:AJ19" si="27">SUM(AB20:AB38)</f>
        <v>47500000</v>
      </c>
      <c r="AC19" s="485">
        <f t="shared" si="27"/>
        <v>9131115</v>
      </c>
      <c r="AD19" s="485">
        <f t="shared" si="27"/>
        <v>86963000</v>
      </c>
      <c r="AE19" s="485">
        <f t="shared" si="27"/>
        <v>1900000</v>
      </c>
      <c r="AF19" s="485">
        <f t="shared" si="27"/>
        <v>133907536.63837647</v>
      </c>
      <c r="AG19" s="485">
        <f t="shared" si="27"/>
        <v>360000</v>
      </c>
      <c r="AH19" s="485">
        <f t="shared" si="27"/>
        <v>3146000</v>
      </c>
      <c r="AI19" s="485">
        <f t="shared" si="27"/>
        <v>0</v>
      </c>
      <c r="AJ19" s="485">
        <f t="shared" si="27"/>
        <v>139313000</v>
      </c>
      <c r="AK19" s="485">
        <f t="shared" ref="AK19" si="28">SUM(AK20:AK38)</f>
        <v>138953000</v>
      </c>
      <c r="AL19" s="230"/>
      <c r="AM19" s="23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CKP19" s="518"/>
    </row>
    <row r="20" spans="1:131 2330:2330" s="518" customFormat="1" ht="21" customHeight="1" x14ac:dyDescent="0.2">
      <c r="A20" s="973">
        <v>13</v>
      </c>
      <c r="B20" s="973" t="s">
        <v>130</v>
      </c>
      <c r="C20" s="973" t="s">
        <v>736</v>
      </c>
      <c r="D20" s="973" t="s">
        <v>206</v>
      </c>
      <c r="E20" s="974">
        <v>37622</v>
      </c>
      <c r="F20" s="975">
        <f t="shared" ref="F20:F26" si="29">IF(IF(E20="",0,ROUND(($P$3-E20)/30,0))&lt;0,0,IF(E20="",0,ROUND(($P$3-E20)/30,0)))</f>
        <v>204</v>
      </c>
      <c r="G20" s="976">
        <f>IF(VLOOKUP(F20,'he so'!C:D,2,0)=0,0,VLOOKUP(F20,'he so'!C:D,2,0))</f>
        <v>0.16</v>
      </c>
      <c r="H20" s="444">
        <f t="shared" si="3"/>
        <v>3745000</v>
      </c>
      <c r="I20" s="977" t="s">
        <v>661</v>
      </c>
      <c r="J20" s="977">
        <v>2</v>
      </c>
      <c r="K20" s="662">
        <v>4119500.0000000009</v>
      </c>
      <c r="L20" s="444">
        <f>VLOOKUP(I20,'thang luong moi'!B:I,'BANG LUONG 1'!J20+1,0)</f>
        <v>4694625.0000000009</v>
      </c>
      <c r="M20" s="443">
        <f>VLOOKUP(C20,CC!$C$5:$AJ$67,34,0)</f>
        <v>29.850000000000012</v>
      </c>
      <c r="N20" s="444">
        <f t="shared" ref="N20:N38" si="30">L20/$N$2*M20</f>
        <v>5389790.6250000028</v>
      </c>
      <c r="O20" s="444">
        <f>VLOOKUP(C20,CC!$C$5:$AM$67,36,0)</f>
        <v>0</v>
      </c>
      <c r="P20" s="444">
        <f>VLOOKUP(C20,CC!$C$5:$BS$67,69,0)</f>
        <v>30</v>
      </c>
      <c r="Q20" s="444">
        <f>VLOOKUP(C20,CC!$C$5:$BT$67,70,0)</f>
        <v>6</v>
      </c>
      <c r="R20" s="444">
        <f>VLOOKUP(C20,CC!$C$5:$AM$67,37,0)</f>
        <v>1</v>
      </c>
      <c r="S20" s="444">
        <f>VLOOKUP(C20,CC!$C$5:$AM$67,35,0)</f>
        <v>0</v>
      </c>
      <c r="T20" s="444">
        <f t="shared" ref="T20:T38" si="31">((L20/$N$2)*M20)+(O20*(L20/$N$2))+((P20/8)*1.5*(L20/$N$2))+((Q20/8)*2*L20/$N$2)+(S20*3*(L20/$N$2)+(L20/$N$2)*R20)</f>
        <v>6856860.9375000028</v>
      </c>
      <c r="U20" s="444">
        <f>VLOOKUP(C20,'Công tổng'!$C$53:$BY$85,75,0)-N20</f>
        <v>381539.83025902323</v>
      </c>
      <c r="V20" s="444">
        <f>+L20*G20</f>
        <v>751140.00000000012</v>
      </c>
      <c r="W20" s="444">
        <f t="shared" ref="W20:W38" si="32">(L20)*G20</f>
        <v>751140.00000000012</v>
      </c>
      <c r="X20" s="444">
        <f>(100%-VLOOKUP(C20,'chuyên cần'!$C$7:$AP$52,40,FALSE))*$X$4</f>
        <v>300000</v>
      </c>
      <c r="Y20" s="444"/>
      <c r="Z20" s="444">
        <f t="shared" ref="Z20:Z26" si="33">SUM(W20:Y20)</f>
        <v>1051140</v>
      </c>
      <c r="AA20" s="441">
        <f t="shared" ref="AA20:AA26" si="34">Z20+U20+T20</f>
        <v>8289540.767759026</v>
      </c>
      <c r="AB20" s="441">
        <f>VLOOKUP(C20,'ung luong'!C84:F132,4,0)</f>
        <v>4000000</v>
      </c>
      <c r="AC20" s="441">
        <f t="shared" ref="AC20:AC26" si="35">AD20*$AC$3</f>
        <v>480585</v>
      </c>
      <c r="AD20" s="441">
        <v>4577000</v>
      </c>
      <c r="AE20" s="441">
        <v>100000</v>
      </c>
      <c r="AF20" s="441">
        <f t="shared" ref="AF20:AF26" si="36">AA20-AB20-AC20</f>
        <v>3808955.767759026</v>
      </c>
      <c r="AG20" s="441">
        <f>15*24000</f>
        <v>360000</v>
      </c>
      <c r="AH20" s="441">
        <f>VLOOKUP(C20,CC!$C$5:$BW$50,73,0)*22000</f>
        <v>22000</v>
      </c>
      <c r="AI20" s="441"/>
      <c r="AJ20" s="441">
        <f>ROUND(AF20,-3)+AI20+AG20+AH20+AE20</f>
        <v>4291000</v>
      </c>
      <c r="AK20" s="669">
        <f>ROUND(AF20,-3)+AE20+AH20</f>
        <v>3931000</v>
      </c>
      <c r="AL20" s="978">
        <v>2681000</v>
      </c>
      <c r="AM20" s="978">
        <f>AJ20-AL20</f>
        <v>1610000</v>
      </c>
      <c r="AN20" s="517"/>
      <c r="AO20" s="517"/>
      <c r="AP20" s="517"/>
      <c r="AQ20" s="517"/>
      <c r="AR20" s="517"/>
      <c r="AS20" s="517"/>
      <c r="AT20" s="517"/>
      <c r="AU20" s="517"/>
      <c r="AV20" s="517"/>
      <c r="AW20" s="517"/>
      <c r="AX20" s="517"/>
      <c r="AY20" s="517"/>
      <c r="AZ20" s="517"/>
      <c r="BA20" s="517"/>
      <c r="BB20" s="517"/>
      <c r="BC20" s="517"/>
      <c r="BD20" s="517"/>
      <c r="BE20" s="517"/>
      <c r="BF20" s="517"/>
      <c r="BG20" s="517"/>
      <c r="BH20" s="517"/>
      <c r="BI20" s="517"/>
      <c r="BJ20" s="517"/>
      <c r="BK20" s="517"/>
      <c r="BL20" s="517"/>
      <c r="BM20" s="517"/>
      <c r="BN20" s="517"/>
      <c r="BO20" s="517"/>
      <c r="BP20" s="517"/>
      <c r="BQ20" s="517"/>
      <c r="BR20" s="517"/>
      <c r="BS20" s="517"/>
      <c r="BT20" s="517"/>
      <c r="BU20" s="517"/>
      <c r="BV20" s="517"/>
      <c r="BW20" s="517"/>
      <c r="BX20" s="517"/>
      <c r="BY20" s="517"/>
      <c r="BZ20" s="517"/>
      <c r="CA20" s="517"/>
      <c r="CB20" s="517"/>
      <c r="CC20" s="517"/>
      <c r="CD20" s="517"/>
      <c r="CE20" s="517"/>
      <c r="CF20" s="517"/>
      <c r="CG20" s="517"/>
      <c r="CH20" s="517"/>
      <c r="CI20" s="517"/>
      <c r="CJ20" s="517"/>
      <c r="CK20" s="517"/>
      <c r="CL20" s="517"/>
      <c r="CM20" s="517"/>
      <c r="CN20" s="517"/>
      <c r="CO20" s="517"/>
      <c r="CP20" s="517"/>
      <c r="CQ20" s="517"/>
      <c r="CR20" s="517"/>
      <c r="CS20" s="517"/>
      <c r="CT20" s="517"/>
      <c r="CU20" s="517"/>
      <c r="CV20" s="517"/>
      <c r="CW20" s="517"/>
      <c r="CX20" s="517"/>
      <c r="CY20" s="517"/>
      <c r="CZ20" s="517"/>
      <c r="DA20" s="517"/>
      <c r="DB20" s="517"/>
      <c r="DC20" s="517"/>
      <c r="DD20" s="517"/>
      <c r="DE20" s="517"/>
      <c r="DF20" s="517"/>
      <c r="DG20" s="517"/>
      <c r="DH20" s="517"/>
      <c r="DI20" s="517"/>
      <c r="DJ20" s="517"/>
      <c r="DK20" s="517"/>
      <c r="DL20" s="517"/>
      <c r="DM20" s="517"/>
      <c r="DN20" s="517"/>
      <c r="DO20" s="517"/>
      <c r="DP20" s="517"/>
      <c r="DQ20" s="517"/>
      <c r="DR20" s="517"/>
      <c r="DS20" s="517"/>
      <c r="DT20" s="517"/>
      <c r="DU20" s="517"/>
      <c r="DV20" s="517"/>
      <c r="DW20" s="517"/>
      <c r="DX20" s="517"/>
      <c r="DY20" s="517"/>
      <c r="DZ20" s="517"/>
    </row>
    <row r="21" spans="1:131 2330:2330" s="518" customFormat="1" ht="21" customHeight="1" x14ac:dyDescent="0.2">
      <c r="A21" s="436">
        <v>14</v>
      </c>
      <c r="B21" s="436" t="s">
        <v>131</v>
      </c>
      <c r="C21" s="436" t="s">
        <v>87</v>
      </c>
      <c r="D21" s="436" t="s">
        <v>206</v>
      </c>
      <c r="E21" s="486">
        <v>41786</v>
      </c>
      <c r="F21" s="491">
        <f t="shared" si="29"/>
        <v>65</v>
      </c>
      <c r="G21" s="492">
        <f>IF(VLOOKUP(F21,'he so'!C:D,2,0)=0,0,VLOOKUP(F21,'he so'!C:D,2,0))</f>
        <v>0.05</v>
      </c>
      <c r="H21" s="488">
        <f t="shared" si="3"/>
        <v>3745000</v>
      </c>
      <c r="I21" s="487" t="s">
        <v>661</v>
      </c>
      <c r="J21" s="487">
        <v>1</v>
      </c>
      <c r="K21" s="493">
        <v>3745000</v>
      </c>
      <c r="L21" s="488">
        <f>VLOOKUP(I21,'thang luong moi'!B:I,'BANG LUONG 1'!J21+1,0)</f>
        <v>4413750</v>
      </c>
      <c r="M21" s="489">
        <f>VLOOKUP(C21,CC!$C$5:$AJ$67,34,0)</f>
        <v>22</v>
      </c>
      <c r="N21" s="488">
        <f t="shared" si="30"/>
        <v>3734711.538461538</v>
      </c>
      <c r="O21" s="488">
        <f>VLOOKUP(C21,CC!$C$5:$AM$67,36,0)</f>
        <v>4</v>
      </c>
      <c r="P21" s="488">
        <f>VLOOKUP(C21,CC!$C$5:$BS$67,69,0)</f>
        <v>25</v>
      </c>
      <c r="Q21" s="488">
        <f>VLOOKUP(C21,CC!$C$5:$BT$67,70,0)</f>
        <v>16</v>
      </c>
      <c r="R21" s="488">
        <f>VLOOKUP(C21,CC!$C$5:$AM$67,37,0)</f>
        <v>1</v>
      </c>
      <c r="S21" s="488">
        <f>VLOOKUP(C21,CC!$C$5:$AM$67,35,0)</f>
        <v>0</v>
      </c>
      <c r="T21" s="488">
        <f>((L21/$N$2)*M21)+(O21*(L21/$N$2))+((P21/8)*1.5*(L21/$N$2))+((Q21/8)*2*L21/$N$2)+(S21*3*(L21/$N$2)+(L21/$N$2)*R21)</f>
        <v>6058296.274038461</v>
      </c>
      <c r="U21" s="488">
        <f>VLOOKUP(C21,'Công tổng'!$C$53:$BY$85,75,0)-N21</f>
        <v>3892516.0910518067</v>
      </c>
      <c r="V21" s="666">
        <f t="shared" ref="V21:V27" si="37">+L21*G21</f>
        <v>220687.5</v>
      </c>
      <c r="W21" s="488">
        <f t="shared" si="32"/>
        <v>220687.5</v>
      </c>
      <c r="X21" s="666">
        <f>(100%-VLOOKUP(C21,'chuyên cần'!$C$7:$AP$52,40,FALSE))*$X$4</f>
        <v>75000</v>
      </c>
      <c r="Y21" s="488">
        <v>0</v>
      </c>
      <c r="Z21" s="488">
        <f t="shared" si="33"/>
        <v>295687.5</v>
      </c>
      <c r="AA21" s="490">
        <f>Z21+U21+T21</f>
        <v>10246499.865090268</v>
      </c>
      <c r="AB21" s="669">
        <f>VLOOKUP(C21,'ung luong'!C85:F133,4,0)</f>
        <v>3000000</v>
      </c>
      <c r="AC21" s="490">
        <f t="shared" si="35"/>
        <v>480585</v>
      </c>
      <c r="AD21" s="490">
        <v>4577000</v>
      </c>
      <c r="AE21" s="669">
        <v>100000</v>
      </c>
      <c r="AF21" s="490">
        <f t="shared" si="36"/>
        <v>6765914.8650902677</v>
      </c>
      <c r="AG21" s="669">
        <v>0</v>
      </c>
      <c r="AH21" s="669">
        <f>VLOOKUP(C21,CC!$C$5:$BW$50,73,0)*22000</f>
        <v>154000</v>
      </c>
      <c r="AI21" s="490"/>
      <c r="AJ21" s="490">
        <f t="shared" ref="AJ21:AJ37" si="38">ROUND(AF21,-3)+AI21+AG21+AH21+AE21</f>
        <v>7020000</v>
      </c>
      <c r="AK21" s="669">
        <f t="shared" ref="AK21:AK51" si="39">ROUND(AF21,-3)+AE21+AH21</f>
        <v>7020000</v>
      </c>
      <c r="AL21" s="978">
        <v>6823000</v>
      </c>
      <c r="AM21" s="978">
        <f t="shared" ref="AM21:AM47" si="40">AJ21-AL21</f>
        <v>197000</v>
      </c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17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17"/>
      <c r="BV21" s="517"/>
      <c r="BW21" s="517"/>
      <c r="BX21" s="517"/>
      <c r="BY21" s="517"/>
      <c r="BZ21" s="517"/>
      <c r="CA21" s="517"/>
      <c r="CB21" s="517"/>
      <c r="CC21" s="517"/>
      <c r="CD21" s="517"/>
      <c r="CE21" s="517"/>
      <c r="CF21" s="517"/>
      <c r="CG21" s="517"/>
      <c r="CH21" s="517"/>
      <c r="CI21" s="517"/>
      <c r="CJ21" s="517"/>
      <c r="CK21" s="517"/>
      <c r="CL21" s="517"/>
      <c r="CM21" s="517"/>
      <c r="CN21" s="517"/>
      <c r="CO21" s="517"/>
      <c r="CP21" s="517"/>
      <c r="CQ21" s="517"/>
      <c r="CR21" s="517"/>
      <c r="CS21" s="517"/>
      <c r="CT21" s="517"/>
      <c r="CU21" s="517"/>
      <c r="CV21" s="517"/>
      <c r="CW21" s="517"/>
      <c r="CX21" s="517"/>
      <c r="CY21" s="517"/>
      <c r="CZ21" s="517"/>
      <c r="DA21" s="517"/>
      <c r="DB21" s="517"/>
      <c r="DC21" s="517"/>
      <c r="DD21" s="517"/>
      <c r="DE21" s="517"/>
      <c r="DF21" s="517"/>
      <c r="DG21" s="517"/>
      <c r="DH21" s="517"/>
      <c r="DI21" s="517"/>
      <c r="DJ21" s="517"/>
      <c r="DK21" s="517"/>
      <c r="DL21" s="517"/>
      <c r="DM21" s="517"/>
      <c r="DN21" s="517"/>
      <c r="DO21" s="517"/>
      <c r="DP21" s="517"/>
      <c r="DQ21" s="517"/>
      <c r="DR21" s="517"/>
      <c r="DS21" s="517"/>
      <c r="DT21" s="517"/>
      <c r="DU21" s="517"/>
      <c r="DV21" s="517"/>
      <c r="DW21" s="517"/>
      <c r="DX21" s="517"/>
      <c r="DY21" s="517"/>
      <c r="DZ21" s="517"/>
    </row>
    <row r="22" spans="1:131 2330:2330" s="518" customFormat="1" ht="21" customHeight="1" x14ac:dyDescent="0.2">
      <c r="A22" s="436">
        <v>15</v>
      </c>
      <c r="B22" s="436" t="s">
        <v>132</v>
      </c>
      <c r="C22" s="436" t="s">
        <v>88</v>
      </c>
      <c r="D22" s="436" t="s">
        <v>206</v>
      </c>
      <c r="E22" s="486">
        <v>41876</v>
      </c>
      <c r="F22" s="491">
        <f t="shared" si="29"/>
        <v>62</v>
      </c>
      <c r="G22" s="492">
        <f>IF(VLOOKUP(F22,'he so'!C:D,2,0)=0,0,VLOOKUP(F22,'he so'!C:D,2,0))</f>
        <v>0.05</v>
      </c>
      <c r="H22" s="488">
        <f t="shared" si="3"/>
        <v>3745000</v>
      </c>
      <c r="I22" s="487" t="s">
        <v>661</v>
      </c>
      <c r="J22" s="487">
        <v>1</v>
      </c>
      <c r="K22" s="493">
        <v>3745000</v>
      </c>
      <c r="L22" s="488">
        <f>VLOOKUP(I22,'thang luong moi'!B:I,'BANG LUONG 1'!J22+1,0)</f>
        <v>4413750</v>
      </c>
      <c r="M22" s="489">
        <f>VLOOKUP(C22,CC!$C$5:$AJ$67,34,0)</f>
        <v>24</v>
      </c>
      <c r="N22" s="488">
        <f t="shared" si="30"/>
        <v>4074230.769230769</v>
      </c>
      <c r="O22" s="488">
        <f>VLOOKUP(C22,CC!$C$5:$AM$67,36,0)</f>
        <v>2</v>
      </c>
      <c r="P22" s="488">
        <f>VLOOKUP(C22,CC!$C$5:$BS$67,69,0)</f>
        <v>5.5</v>
      </c>
      <c r="Q22" s="488">
        <f>VLOOKUP(C22,CC!$C$5:$BT$67,70,0)</f>
        <v>0</v>
      </c>
      <c r="R22" s="488">
        <f>VLOOKUP(C22,CC!$C$5:$AM$67,37,0)</f>
        <v>1</v>
      </c>
      <c r="S22" s="488">
        <f>VLOOKUP(C22,CC!$C$5:$AM$67,35,0)</f>
        <v>0</v>
      </c>
      <c r="T22" s="488">
        <f t="shared" si="31"/>
        <v>4758574.21875</v>
      </c>
      <c r="U22" s="488">
        <f>VLOOKUP(C22,'Công tổng'!$C$53:$BY$85,75,0)-N22</f>
        <v>1850328.1004709583</v>
      </c>
      <c r="V22" s="666">
        <f t="shared" si="37"/>
        <v>220687.5</v>
      </c>
      <c r="W22" s="488">
        <f t="shared" si="32"/>
        <v>220687.5</v>
      </c>
      <c r="X22" s="666">
        <f>(100%-VLOOKUP(C22,'chuyên cần'!$C$7:$AP$52,40,FALSE))*$X$4</f>
        <v>300000</v>
      </c>
      <c r="Y22" s="488">
        <v>0</v>
      </c>
      <c r="Z22" s="488">
        <f t="shared" si="33"/>
        <v>520687.5</v>
      </c>
      <c r="AA22" s="490">
        <f t="shared" si="34"/>
        <v>7129589.8192209583</v>
      </c>
      <c r="AB22" s="669">
        <f>VLOOKUP(C22,'ung luong'!C86:F134,4,0)</f>
        <v>0</v>
      </c>
      <c r="AC22" s="490">
        <f t="shared" si="35"/>
        <v>480585</v>
      </c>
      <c r="AD22" s="490">
        <v>4577000</v>
      </c>
      <c r="AE22" s="669">
        <v>100000</v>
      </c>
      <c r="AF22" s="490">
        <f t="shared" si="36"/>
        <v>6649004.8192209583</v>
      </c>
      <c r="AG22" s="669">
        <f>VLOOKUP(C22,CC!$C$5:$BV$50,72,0)*22000</f>
        <v>0</v>
      </c>
      <c r="AH22" s="669">
        <f>VLOOKUP(C22,CC!$C$5:$BW$50,73,0)*22000</f>
        <v>22000</v>
      </c>
      <c r="AI22" s="490"/>
      <c r="AJ22" s="490">
        <f t="shared" si="38"/>
        <v>6771000</v>
      </c>
      <c r="AK22" s="669">
        <f t="shared" si="39"/>
        <v>6771000</v>
      </c>
      <c r="AL22" s="978">
        <v>6618000</v>
      </c>
      <c r="AM22" s="978">
        <f t="shared" si="40"/>
        <v>153000</v>
      </c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17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17"/>
      <c r="BV22" s="517"/>
      <c r="BW22" s="517"/>
      <c r="BX22" s="517"/>
      <c r="BY22" s="517"/>
      <c r="BZ22" s="517"/>
      <c r="CA22" s="517"/>
      <c r="CB22" s="517"/>
      <c r="CC22" s="517"/>
      <c r="CD22" s="517"/>
      <c r="CE22" s="517"/>
      <c r="CF22" s="517"/>
      <c r="CG22" s="517"/>
      <c r="CH22" s="517"/>
      <c r="CI22" s="517"/>
      <c r="CJ22" s="517"/>
      <c r="CK22" s="517"/>
      <c r="CL22" s="517"/>
      <c r="CM22" s="517"/>
      <c r="CN22" s="517"/>
      <c r="CO22" s="517"/>
      <c r="CP22" s="517"/>
      <c r="CQ22" s="517"/>
      <c r="CR22" s="517"/>
      <c r="CS22" s="517"/>
      <c r="CT22" s="517"/>
      <c r="CU22" s="517"/>
      <c r="CV22" s="517"/>
      <c r="CW22" s="517"/>
      <c r="CX22" s="517"/>
      <c r="CY22" s="517"/>
      <c r="CZ22" s="517"/>
      <c r="DA22" s="517"/>
      <c r="DB22" s="517"/>
      <c r="DC22" s="517"/>
      <c r="DD22" s="517"/>
      <c r="DE22" s="517"/>
      <c r="DF22" s="517"/>
      <c r="DG22" s="517"/>
      <c r="DH22" s="517"/>
      <c r="DI22" s="517"/>
      <c r="DJ22" s="517"/>
      <c r="DK22" s="517"/>
      <c r="DL22" s="517"/>
      <c r="DM22" s="517"/>
      <c r="DN22" s="517"/>
      <c r="DO22" s="517"/>
      <c r="DP22" s="517"/>
      <c r="DQ22" s="517"/>
      <c r="DR22" s="517"/>
      <c r="DS22" s="517"/>
      <c r="DT22" s="517"/>
      <c r="DU22" s="517"/>
      <c r="DV22" s="517"/>
      <c r="DW22" s="517"/>
      <c r="DX22" s="517"/>
      <c r="DY22" s="517"/>
      <c r="DZ22" s="517"/>
    </row>
    <row r="23" spans="1:131 2330:2330" s="518" customFormat="1" ht="21" customHeight="1" x14ac:dyDescent="0.2">
      <c r="A23" s="436">
        <v>16</v>
      </c>
      <c r="B23" s="436" t="s">
        <v>133</v>
      </c>
      <c r="C23" s="436" t="s">
        <v>71</v>
      </c>
      <c r="D23" s="436" t="s">
        <v>206</v>
      </c>
      <c r="E23" s="486">
        <v>41997</v>
      </c>
      <c r="F23" s="491">
        <f t="shared" si="29"/>
        <v>58</v>
      </c>
      <c r="G23" s="492">
        <f>IF(VLOOKUP(F23,'he so'!C:D,2,0)=0,0,VLOOKUP(F23,'he so'!C:D,2,0))</f>
        <v>0.04</v>
      </c>
      <c r="H23" s="488">
        <f t="shared" si="3"/>
        <v>3745000</v>
      </c>
      <c r="I23" s="487" t="s">
        <v>661</v>
      </c>
      <c r="J23" s="487">
        <v>1</v>
      </c>
      <c r="K23" s="493">
        <v>3745000</v>
      </c>
      <c r="L23" s="488">
        <f>VLOOKUP(I23,'thang luong moi'!B:I,'BANG LUONG 1'!J23+1,0)</f>
        <v>4413750</v>
      </c>
      <c r="M23" s="489">
        <f>VLOOKUP(C23,CC!$C$5:$AJ$67,34,0)</f>
        <v>26</v>
      </c>
      <c r="N23" s="488">
        <f t="shared" si="30"/>
        <v>4413750</v>
      </c>
      <c r="O23" s="488">
        <f>VLOOKUP(C23,CC!$C$5:$AM$67,36,0)</f>
        <v>0</v>
      </c>
      <c r="P23" s="488">
        <f>VLOOKUP(C23,CC!$C$5:$BS$67,69,0)</f>
        <v>80</v>
      </c>
      <c r="Q23" s="488">
        <f>VLOOKUP(C23,CC!$C$5:$BT$67,70,0)</f>
        <v>16</v>
      </c>
      <c r="R23" s="488">
        <f>VLOOKUP(C23,CC!$C$5:$AM$67,37,0)</f>
        <v>1</v>
      </c>
      <c r="S23" s="488">
        <f>VLOOKUP(C23,CC!$C$5:$AM$67,35,0)</f>
        <v>0</v>
      </c>
      <c r="T23" s="488">
        <f t="shared" si="31"/>
        <v>7808942.307692307</v>
      </c>
      <c r="U23" s="488">
        <f>VLOOKUP(C23,'Công tổng'!$C$53:$BY$85,75,0)-N23</f>
        <v>5635455.6514913682</v>
      </c>
      <c r="V23" s="666">
        <f t="shared" si="37"/>
        <v>176550</v>
      </c>
      <c r="W23" s="488">
        <f t="shared" si="32"/>
        <v>176550</v>
      </c>
      <c r="X23" s="666">
        <f>(100%-VLOOKUP(C23,'chuyên cần'!$C$7:$AP$52,40,FALSE))*$X$4</f>
        <v>300000</v>
      </c>
      <c r="Y23" s="488">
        <v>0</v>
      </c>
      <c r="Z23" s="488">
        <f t="shared" si="33"/>
        <v>476550</v>
      </c>
      <c r="AA23" s="490">
        <f t="shared" si="34"/>
        <v>13920947.959183674</v>
      </c>
      <c r="AB23" s="669">
        <f>VLOOKUP(C23,'ung luong'!C87:F135,4,0)</f>
        <v>5000000</v>
      </c>
      <c r="AC23" s="490">
        <f>AD23*$AC$3</f>
        <v>480585</v>
      </c>
      <c r="AD23" s="490">
        <v>4577000</v>
      </c>
      <c r="AE23" s="669">
        <v>100000</v>
      </c>
      <c r="AF23" s="490">
        <f t="shared" si="36"/>
        <v>8440362.9591836743</v>
      </c>
      <c r="AG23" s="669">
        <f>VLOOKUP(C23,CC!$C$5:$BV$50,72,0)*22000</f>
        <v>0</v>
      </c>
      <c r="AH23" s="669">
        <f>VLOOKUP(C23,CC!$C$5:$BW$50,73,0)*22000</f>
        <v>396000</v>
      </c>
      <c r="AI23" s="490"/>
      <c r="AJ23" s="490">
        <f t="shared" si="38"/>
        <v>8936000</v>
      </c>
      <c r="AK23" s="669">
        <f t="shared" si="39"/>
        <v>8936000</v>
      </c>
      <c r="AL23" s="978">
        <v>8936000</v>
      </c>
      <c r="AM23" s="978">
        <f t="shared" si="40"/>
        <v>0</v>
      </c>
      <c r="AN23" s="517"/>
      <c r="AO23" s="517"/>
      <c r="AP23" s="517"/>
      <c r="AQ23" s="517"/>
      <c r="AR23" s="517"/>
      <c r="AS23" s="517"/>
      <c r="AT23" s="517"/>
      <c r="AU23" s="517"/>
      <c r="AV23" s="517"/>
      <c r="AW23" s="517"/>
      <c r="AX23" s="517"/>
      <c r="AY23" s="517"/>
      <c r="AZ23" s="517"/>
      <c r="BA23" s="517"/>
      <c r="BB23" s="517"/>
      <c r="BC23" s="517"/>
      <c r="BD23" s="517"/>
      <c r="BE23" s="517"/>
      <c r="BF23" s="517"/>
      <c r="BG23" s="517"/>
      <c r="BH23" s="517"/>
      <c r="BI23" s="517"/>
      <c r="BJ23" s="517"/>
      <c r="BK23" s="517"/>
      <c r="BL23" s="517"/>
      <c r="BM23" s="517"/>
      <c r="BN23" s="517"/>
      <c r="BO23" s="517"/>
      <c r="BP23" s="517"/>
      <c r="BQ23" s="517"/>
      <c r="BR23" s="517"/>
      <c r="BS23" s="517"/>
      <c r="BT23" s="517"/>
      <c r="BU23" s="517"/>
      <c r="BV23" s="517"/>
      <c r="BW23" s="517"/>
      <c r="BX23" s="517"/>
      <c r="BY23" s="517"/>
      <c r="BZ23" s="517"/>
      <c r="CA23" s="517"/>
      <c r="CB23" s="517"/>
      <c r="CC23" s="517"/>
      <c r="CD23" s="517"/>
      <c r="CE23" s="517"/>
      <c r="CF23" s="517"/>
      <c r="CG23" s="517"/>
      <c r="CH23" s="517"/>
      <c r="CI23" s="517"/>
      <c r="CJ23" s="517"/>
      <c r="CK23" s="517"/>
      <c r="CL23" s="517"/>
      <c r="CM23" s="517"/>
      <c r="CN23" s="517"/>
      <c r="CO23" s="517"/>
      <c r="CP23" s="517"/>
      <c r="CQ23" s="517"/>
      <c r="CR23" s="517"/>
      <c r="CS23" s="517"/>
      <c r="CT23" s="517"/>
      <c r="CU23" s="517"/>
      <c r="CV23" s="517"/>
      <c r="CW23" s="517"/>
      <c r="CX23" s="517"/>
      <c r="CY23" s="517"/>
      <c r="CZ23" s="517"/>
      <c r="DA23" s="517"/>
      <c r="DB23" s="517"/>
      <c r="DC23" s="517"/>
      <c r="DD23" s="517"/>
      <c r="DE23" s="517"/>
      <c r="DF23" s="517"/>
      <c r="DG23" s="517"/>
      <c r="DH23" s="517"/>
      <c r="DI23" s="517"/>
      <c r="DJ23" s="517"/>
      <c r="DK23" s="517"/>
      <c r="DL23" s="517"/>
      <c r="DM23" s="517"/>
      <c r="DN23" s="517"/>
      <c r="DO23" s="517"/>
      <c r="DP23" s="517"/>
      <c r="DQ23" s="517"/>
      <c r="DR23" s="517"/>
      <c r="DS23" s="517"/>
      <c r="DT23" s="517"/>
      <c r="DU23" s="517"/>
      <c r="DV23" s="517"/>
      <c r="DW23" s="517"/>
      <c r="DX23" s="517"/>
      <c r="DY23" s="517"/>
      <c r="DZ23" s="517"/>
    </row>
    <row r="24" spans="1:131 2330:2330" s="518" customFormat="1" ht="21" customHeight="1" x14ac:dyDescent="0.2">
      <c r="A24" s="436">
        <v>17</v>
      </c>
      <c r="B24" s="436" t="s">
        <v>135</v>
      </c>
      <c r="C24" s="436" t="s">
        <v>571</v>
      </c>
      <c r="D24" s="436" t="s">
        <v>206</v>
      </c>
      <c r="E24" s="486">
        <v>42371</v>
      </c>
      <c r="F24" s="491">
        <f t="shared" si="29"/>
        <v>45</v>
      </c>
      <c r="G24" s="492">
        <f>IF(VLOOKUP(F24,'he so'!C:D,2,0)=0,0,VLOOKUP(F24,'he so'!C:D,2,0))</f>
        <v>0.03</v>
      </c>
      <c r="H24" s="488">
        <f t="shared" si="3"/>
        <v>3745000</v>
      </c>
      <c r="I24" s="487" t="s">
        <v>661</v>
      </c>
      <c r="J24" s="487">
        <v>1</v>
      </c>
      <c r="K24" s="493">
        <v>3745000</v>
      </c>
      <c r="L24" s="488">
        <f>VLOOKUP(I24,'thang luong moi'!B:I,'BANG LUONG 1'!J24+1,0)</f>
        <v>4413750</v>
      </c>
      <c r="M24" s="489">
        <f>VLOOKUP(C24,CC!$C$5:$AJ$67,34,0)</f>
        <v>26</v>
      </c>
      <c r="N24" s="488">
        <f t="shared" si="30"/>
        <v>4413750</v>
      </c>
      <c r="O24" s="488">
        <f>VLOOKUP(C24,CC!$C$5:$AM$67,36,0)</f>
        <v>0</v>
      </c>
      <c r="P24" s="488">
        <f>VLOOKUP(C24,CC!$C$5:$BS$67,69,0)</f>
        <v>49</v>
      </c>
      <c r="Q24" s="488">
        <f>VLOOKUP(C24,CC!$C$5:$BT$67,70,0)</f>
        <v>16</v>
      </c>
      <c r="R24" s="488">
        <f>VLOOKUP(C24,CC!$C$5:$AM$67,37,0)</f>
        <v>1</v>
      </c>
      <c r="S24" s="488">
        <f>VLOOKUP(C24,CC!$C$5:$AM$67,35,0)</f>
        <v>0</v>
      </c>
      <c r="T24" s="488">
        <f t="shared" si="31"/>
        <v>6822214.543269231</v>
      </c>
      <c r="U24" s="488">
        <f>VLOOKUP(C24,'Công tổng'!$C$53:$BY$85,75,0)-N24</f>
        <v>3954142.8571428573</v>
      </c>
      <c r="V24" s="666">
        <f>+L24*G24</f>
        <v>132412.5</v>
      </c>
      <c r="W24" s="488">
        <f t="shared" si="32"/>
        <v>132412.5</v>
      </c>
      <c r="X24" s="666">
        <f>(100%-VLOOKUP(C24,'chuyên cần'!$C$7:$AP$52,40,FALSE))*$X$4</f>
        <v>300000</v>
      </c>
      <c r="Y24" s="488">
        <v>0</v>
      </c>
      <c r="Z24" s="488">
        <f t="shared" si="33"/>
        <v>432412.5</v>
      </c>
      <c r="AA24" s="490">
        <f>Z24+U24+T24</f>
        <v>11208769.900412088</v>
      </c>
      <c r="AB24" s="669">
        <f>VLOOKUP(C24,'ung luong'!C88:F137,4,0)</f>
        <v>0</v>
      </c>
      <c r="AC24" s="490">
        <f t="shared" si="35"/>
        <v>480585</v>
      </c>
      <c r="AD24" s="490">
        <v>4577000</v>
      </c>
      <c r="AE24" s="669">
        <v>100000</v>
      </c>
      <c r="AF24" s="490">
        <f>AA24-AB24-AC24</f>
        <v>10728184.900412088</v>
      </c>
      <c r="AG24" s="669">
        <f>VLOOKUP(C24,CC!$C$5:$BV$50,72,0)*22000</f>
        <v>0</v>
      </c>
      <c r="AH24" s="669">
        <f>VLOOKUP(C24,CC!$C$5:$BW$50,73,0)*22000</f>
        <v>242000</v>
      </c>
      <c r="AI24" s="490"/>
      <c r="AJ24" s="490">
        <f t="shared" si="38"/>
        <v>11070000</v>
      </c>
      <c r="AK24" s="669">
        <f t="shared" si="39"/>
        <v>11070000</v>
      </c>
      <c r="AL24" s="978">
        <v>10675000</v>
      </c>
      <c r="AM24" s="978">
        <f t="shared" si="40"/>
        <v>395000</v>
      </c>
      <c r="AN24" s="517"/>
      <c r="AO24" s="517"/>
      <c r="AP24" s="517"/>
      <c r="AQ24" s="517"/>
      <c r="AR24" s="517"/>
      <c r="AS24" s="517"/>
      <c r="AT24" s="517"/>
      <c r="AU24" s="517"/>
      <c r="AV24" s="517"/>
      <c r="AW24" s="517"/>
      <c r="AX24" s="517"/>
      <c r="AY24" s="517"/>
      <c r="AZ24" s="517"/>
      <c r="BA24" s="517"/>
      <c r="BB24" s="517"/>
      <c r="BC24" s="517"/>
      <c r="BD24" s="517"/>
      <c r="BE24" s="517"/>
      <c r="BF24" s="517"/>
      <c r="BG24" s="517"/>
      <c r="BH24" s="517"/>
      <c r="BI24" s="517"/>
      <c r="BJ24" s="517"/>
      <c r="BK24" s="517"/>
      <c r="BL24" s="517"/>
      <c r="BM24" s="517"/>
      <c r="BN24" s="517"/>
      <c r="BO24" s="517"/>
      <c r="BP24" s="517"/>
      <c r="BQ24" s="517"/>
      <c r="BR24" s="517"/>
      <c r="BS24" s="517"/>
      <c r="BT24" s="517"/>
      <c r="BU24" s="517"/>
      <c r="BV24" s="517"/>
      <c r="BW24" s="517"/>
      <c r="BX24" s="517"/>
      <c r="BY24" s="517"/>
      <c r="BZ24" s="517"/>
      <c r="CA24" s="517"/>
      <c r="CB24" s="517"/>
      <c r="CC24" s="517"/>
      <c r="CD24" s="517"/>
      <c r="CE24" s="517"/>
      <c r="CF24" s="517"/>
      <c r="CG24" s="517"/>
      <c r="CH24" s="517"/>
      <c r="CI24" s="517"/>
      <c r="CJ24" s="517"/>
      <c r="CK24" s="517"/>
      <c r="CL24" s="517"/>
      <c r="CM24" s="517"/>
      <c r="CN24" s="517"/>
      <c r="CO24" s="517"/>
      <c r="CP24" s="517"/>
      <c r="CQ24" s="517"/>
      <c r="CR24" s="517"/>
      <c r="CS24" s="517"/>
      <c r="CT24" s="517"/>
      <c r="CU24" s="517"/>
      <c r="CV24" s="517"/>
      <c r="CW24" s="517"/>
      <c r="CX24" s="517"/>
      <c r="CY24" s="517"/>
      <c r="CZ24" s="517"/>
      <c r="DA24" s="517"/>
      <c r="DB24" s="517"/>
      <c r="DC24" s="517"/>
      <c r="DD24" s="517"/>
      <c r="DE24" s="517"/>
      <c r="DF24" s="517"/>
      <c r="DG24" s="517"/>
      <c r="DH24" s="517"/>
      <c r="DI24" s="517"/>
      <c r="DJ24" s="517"/>
      <c r="DK24" s="517"/>
      <c r="DL24" s="517"/>
      <c r="DM24" s="517"/>
      <c r="DN24" s="517"/>
      <c r="DO24" s="517"/>
      <c r="DP24" s="517"/>
      <c r="DQ24" s="517"/>
      <c r="DR24" s="517"/>
      <c r="DS24" s="517"/>
      <c r="DT24" s="517"/>
      <c r="DU24" s="517"/>
      <c r="DV24" s="517"/>
      <c r="DW24" s="517"/>
      <c r="DX24" s="517"/>
      <c r="DY24" s="517"/>
      <c r="DZ24" s="517"/>
    </row>
    <row r="25" spans="1:131 2330:2330" s="518" customFormat="1" ht="21" customHeight="1" x14ac:dyDescent="0.2">
      <c r="A25" s="436">
        <v>18</v>
      </c>
      <c r="B25" s="436" t="s">
        <v>136</v>
      </c>
      <c r="C25" s="436" t="s">
        <v>75</v>
      </c>
      <c r="D25" s="436" t="s">
        <v>206</v>
      </c>
      <c r="E25" s="486">
        <v>41321</v>
      </c>
      <c r="F25" s="491">
        <f t="shared" si="29"/>
        <v>80</v>
      </c>
      <c r="G25" s="492">
        <f>IF(VLOOKUP(F25,'he so'!C:D,2,0)=0,0,VLOOKUP(F25,'he so'!C:D,2,0))</f>
        <v>6.0000000000000005E-2</v>
      </c>
      <c r="H25" s="488">
        <f t="shared" si="3"/>
        <v>3745000</v>
      </c>
      <c r="I25" s="487" t="s">
        <v>661</v>
      </c>
      <c r="J25" s="487">
        <v>1</v>
      </c>
      <c r="K25" s="493">
        <v>3745000</v>
      </c>
      <c r="L25" s="488">
        <f>VLOOKUP(I25,'thang luong moi'!B:I,'BANG LUONG 1'!J25+1,0)</f>
        <v>4413750</v>
      </c>
      <c r="M25" s="489">
        <f>VLOOKUP(C25,CC!$C$5:$AJ$67,34,0)</f>
        <v>5</v>
      </c>
      <c r="N25" s="488">
        <f t="shared" si="30"/>
        <v>848798.07692307688</v>
      </c>
      <c r="O25" s="488">
        <f>VLOOKUP(C25,CC!$C$5:$AM$67,36,0)</f>
        <v>21</v>
      </c>
      <c r="P25" s="488">
        <f>VLOOKUP(C25,CC!$C$5:$BS$67,69,0)</f>
        <v>2</v>
      </c>
      <c r="Q25" s="488">
        <f>VLOOKUP(C25,CC!$C$5:$BT$67,70,0)</f>
        <v>8</v>
      </c>
      <c r="R25" s="488">
        <f>VLOOKUP(C25,CC!$C$5:$AM$67,37,0)</f>
        <v>1</v>
      </c>
      <c r="S25" s="488">
        <f>VLOOKUP(C25,CC!$C$5:$AM$67,35,0)</f>
        <v>0</v>
      </c>
      <c r="T25" s="488">
        <f t="shared" si="31"/>
        <v>4986688.701923077</v>
      </c>
      <c r="U25" s="488">
        <f>VLOOKUP(C25,'Công tổng'!$C$53:$BY$85,75,0)-N25</f>
        <v>510271.94531658816</v>
      </c>
      <c r="V25" s="666">
        <f t="shared" si="37"/>
        <v>264825</v>
      </c>
      <c r="W25" s="488">
        <f t="shared" si="32"/>
        <v>264825</v>
      </c>
      <c r="X25" s="666">
        <f>(100%-VLOOKUP(C25,'chuyên cần'!$C$7:$AP$52,40,FALSE))*$X$4</f>
        <v>0</v>
      </c>
      <c r="Y25" s="488"/>
      <c r="Z25" s="488">
        <f t="shared" si="33"/>
        <v>264825</v>
      </c>
      <c r="AA25" s="490">
        <f t="shared" si="34"/>
        <v>5761785.6472396655</v>
      </c>
      <c r="AB25" s="669">
        <f>VLOOKUP(C25,'ung luong'!C89:F138,4,0)</f>
        <v>0</v>
      </c>
      <c r="AC25" s="490">
        <f t="shared" si="35"/>
        <v>480585</v>
      </c>
      <c r="AD25" s="490">
        <v>4577000</v>
      </c>
      <c r="AE25" s="669">
        <v>100000</v>
      </c>
      <c r="AF25" s="490">
        <f t="shared" si="36"/>
        <v>5281200.6472396655</v>
      </c>
      <c r="AG25" s="669">
        <f>VLOOKUP(C25,CC!$C$5:$BV$50,72,0)*22000</f>
        <v>0</v>
      </c>
      <c r="AH25" s="669">
        <f>VLOOKUP(C25,CC!$C$5:$BW$50,73,0)*22000</f>
        <v>0</v>
      </c>
      <c r="AI25" s="490"/>
      <c r="AJ25" s="490">
        <f t="shared" si="38"/>
        <v>5381000</v>
      </c>
      <c r="AK25" s="669">
        <f t="shared" si="39"/>
        <v>5381000</v>
      </c>
      <c r="AL25" s="978">
        <v>10187000</v>
      </c>
      <c r="AM25" s="978">
        <f t="shared" si="40"/>
        <v>-4806000</v>
      </c>
      <c r="AN25" s="517"/>
      <c r="AO25" s="517"/>
      <c r="AP25" s="517"/>
      <c r="AQ25" s="517"/>
      <c r="AR25" s="517"/>
      <c r="AS25" s="517"/>
      <c r="AT25" s="517"/>
      <c r="AU25" s="517"/>
      <c r="AV25" s="517"/>
      <c r="AW25" s="517"/>
      <c r="AX25" s="517"/>
      <c r="AY25" s="517"/>
      <c r="AZ25" s="517"/>
      <c r="BA25" s="517"/>
      <c r="BB25" s="517"/>
      <c r="BC25" s="517"/>
      <c r="BD25" s="517"/>
      <c r="BE25" s="517"/>
      <c r="BF25" s="517"/>
      <c r="BG25" s="517"/>
      <c r="BH25" s="517"/>
      <c r="BI25" s="517"/>
      <c r="BJ25" s="517"/>
      <c r="BK25" s="517"/>
      <c r="BL25" s="517"/>
      <c r="BM25" s="517"/>
      <c r="BN25" s="517"/>
      <c r="BO25" s="517"/>
      <c r="BP25" s="517"/>
      <c r="BQ25" s="517"/>
      <c r="BR25" s="517"/>
      <c r="BS25" s="517"/>
      <c r="BT25" s="517"/>
      <c r="BU25" s="517"/>
      <c r="BV25" s="517"/>
      <c r="BW25" s="517"/>
      <c r="BX25" s="517"/>
      <c r="BY25" s="517"/>
      <c r="BZ25" s="517"/>
      <c r="CA25" s="517"/>
      <c r="CB25" s="517"/>
      <c r="CC25" s="517"/>
      <c r="CD25" s="517"/>
      <c r="CE25" s="517"/>
      <c r="CF25" s="517"/>
      <c r="CG25" s="517"/>
      <c r="CH25" s="517"/>
      <c r="CI25" s="517"/>
      <c r="CJ25" s="517"/>
      <c r="CK25" s="517"/>
      <c r="CL25" s="517"/>
      <c r="CM25" s="517"/>
      <c r="CN25" s="517"/>
      <c r="CO25" s="517"/>
      <c r="CP25" s="517"/>
      <c r="CQ25" s="517"/>
      <c r="CR25" s="517"/>
      <c r="CS25" s="517"/>
      <c r="CT25" s="517"/>
      <c r="CU25" s="517"/>
      <c r="CV25" s="517"/>
      <c r="CW25" s="517"/>
      <c r="CX25" s="517"/>
      <c r="CY25" s="517"/>
      <c r="CZ25" s="517"/>
      <c r="DA25" s="517"/>
      <c r="DB25" s="517"/>
      <c r="DC25" s="517"/>
      <c r="DD25" s="517"/>
      <c r="DE25" s="517"/>
      <c r="DF25" s="517"/>
      <c r="DG25" s="517"/>
      <c r="DH25" s="517"/>
      <c r="DI25" s="517"/>
      <c r="DJ25" s="517"/>
      <c r="DK25" s="517"/>
      <c r="DL25" s="517"/>
      <c r="DM25" s="517"/>
      <c r="DN25" s="517"/>
      <c r="DO25" s="517"/>
      <c r="DP25" s="517"/>
      <c r="DQ25" s="517"/>
      <c r="DR25" s="517"/>
      <c r="DS25" s="517"/>
      <c r="DT25" s="517"/>
      <c r="DU25" s="517"/>
      <c r="DV25" s="517"/>
      <c r="DW25" s="517"/>
      <c r="DX25" s="517"/>
      <c r="DY25" s="517"/>
      <c r="DZ25" s="517"/>
    </row>
    <row r="26" spans="1:131 2330:2330" s="518" customFormat="1" ht="21" customHeight="1" x14ac:dyDescent="0.2">
      <c r="A26" s="436">
        <v>19</v>
      </c>
      <c r="B26" s="436" t="s">
        <v>137</v>
      </c>
      <c r="C26" s="436" t="s">
        <v>77</v>
      </c>
      <c r="D26" s="436" t="s">
        <v>206</v>
      </c>
      <c r="E26" s="486">
        <v>41852</v>
      </c>
      <c r="F26" s="491">
        <f t="shared" si="29"/>
        <v>63</v>
      </c>
      <c r="G26" s="492">
        <f>IF(VLOOKUP(F26,'he so'!C:D,2,0)=0,0,VLOOKUP(F26,'he so'!C:D,2,0))</f>
        <v>0.05</v>
      </c>
      <c r="H26" s="488">
        <f t="shared" si="3"/>
        <v>3745000</v>
      </c>
      <c r="I26" s="487" t="s">
        <v>661</v>
      </c>
      <c r="J26" s="487">
        <v>1</v>
      </c>
      <c r="K26" s="493">
        <v>3745000</v>
      </c>
      <c r="L26" s="488">
        <f>VLOOKUP(I26,'thang luong moi'!B:I,'BANG LUONG 1'!J26+1,0)</f>
        <v>4413750</v>
      </c>
      <c r="M26" s="489">
        <f>VLOOKUP(C26,CC!$C$5:$AJ$67,34,0)</f>
        <v>25</v>
      </c>
      <c r="N26" s="488">
        <f t="shared" si="30"/>
        <v>4243990.384615384</v>
      </c>
      <c r="O26" s="488">
        <f>VLOOKUP(C26,CC!$C$5:$AM$67,36,0)</f>
        <v>0</v>
      </c>
      <c r="P26" s="488">
        <f>VLOOKUP(C26,CC!$C$5:$BS$67,69,0)</f>
        <v>30</v>
      </c>
      <c r="Q26" s="488">
        <f>VLOOKUP(C26,CC!$C$5:$BT$67,70,0)</f>
        <v>24</v>
      </c>
      <c r="R26" s="488">
        <f>VLOOKUP(C26,CC!$C$5:$AM$67,37,0)</f>
        <v>1</v>
      </c>
      <c r="S26" s="488">
        <f>VLOOKUP(C26,CC!$C$5:$AM$67,35,0)</f>
        <v>0</v>
      </c>
      <c r="T26" s="488">
        <f t="shared" si="31"/>
        <v>6387205.5288461531</v>
      </c>
      <c r="U26" s="488">
        <f>VLOOKUP(C26,'Công tổng'!$C$53:$BY$85,75,0)-N26</f>
        <v>4844471.153846154</v>
      </c>
      <c r="V26" s="666">
        <f t="shared" si="37"/>
        <v>220687.5</v>
      </c>
      <c r="W26" s="488">
        <f t="shared" si="32"/>
        <v>220687.5</v>
      </c>
      <c r="X26" s="666">
        <f>(100%-VLOOKUP(C26,'chuyên cần'!$C$7:$AP$52,40,FALSE))*$X$4</f>
        <v>300000</v>
      </c>
      <c r="Y26" s="488">
        <v>0</v>
      </c>
      <c r="Z26" s="488">
        <f t="shared" si="33"/>
        <v>520687.5</v>
      </c>
      <c r="AA26" s="490">
        <f t="shared" si="34"/>
        <v>11752364.182692308</v>
      </c>
      <c r="AB26" s="669">
        <f>VLOOKUP(C26,'ung luong'!C90:F139,4,0)</f>
        <v>3000000</v>
      </c>
      <c r="AC26" s="490">
        <f t="shared" si="35"/>
        <v>480585</v>
      </c>
      <c r="AD26" s="490">
        <v>4577000</v>
      </c>
      <c r="AE26" s="669">
        <v>100000</v>
      </c>
      <c r="AF26" s="490">
        <f t="shared" si="36"/>
        <v>8271779.182692308</v>
      </c>
      <c r="AG26" s="669">
        <f>VLOOKUP(C26,CC!$C$5:$BV$50,72,0)*22000</f>
        <v>0</v>
      </c>
      <c r="AH26" s="669">
        <f>VLOOKUP(C26,CC!$C$5:$BW$50,73,0)*22000</f>
        <v>198000</v>
      </c>
      <c r="AI26" s="490"/>
      <c r="AJ26" s="490">
        <f t="shared" si="38"/>
        <v>8570000</v>
      </c>
      <c r="AK26" s="669">
        <f t="shared" si="39"/>
        <v>8570000</v>
      </c>
      <c r="AL26" s="978">
        <v>8341000</v>
      </c>
      <c r="AM26" s="978">
        <f t="shared" si="40"/>
        <v>229000</v>
      </c>
      <c r="AN26" s="517"/>
      <c r="AO26" s="517"/>
      <c r="AP26" s="517"/>
      <c r="AQ26" s="517"/>
      <c r="AR26" s="517"/>
      <c r="AS26" s="517"/>
      <c r="AT26" s="517"/>
      <c r="AU26" s="517"/>
      <c r="AV26" s="517"/>
      <c r="AW26" s="517"/>
      <c r="AX26" s="517"/>
      <c r="AY26" s="517"/>
      <c r="AZ26" s="517"/>
      <c r="BA26" s="517"/>
      <c r="BB26" s="517"/>
      <c r="BC26" s="517"/>
      <c r="BD26" s="517"/>
      <c r="BE26" s="517"/>
      <c r="BF26" s="517"/>
      <c r="BG26" s="517"/>
      <c r="BH26" s="517"/>
      <c r="BI26" s="517"/>
      <c r="BJ26" s="517"/>
      <c r="BK26" s="517"/>
      <c r="BL26" s="517"/>
      <c r="BM26" s="517"/>
      <c r="BN26" s="517"/>
      <c r="BO26" s="517"/>
      <c r="BP26" s="517"/>
      <c r="BQ26" s="517"/>
      <c r="BR26" s="517"/>
      <c r="BS26" s="517"/>
      <c r="BT26" s="517"/>
      <c r="BU26" s="517"/>
      <c r="BV26" s="517"/>
      <c r="BW26" s="517"/>
      <c r="BX26" s="517"/>
      <c r="BY26" s="517"/>
      <c r="BZ26" s="517"/>
      <c r="CA26" s="517"/>
      <c r="CB26" s="517"/>
      <c r="CC26" s="517"/>
      <c r="CD26" s="517"/>
      <c r="CE26" s="517"/>
      <c r="CF26" s="517"/>
      <c r="CG26" s="517"/>
      <c r="CH26" s="517"/>
      <c r="CI26" s="517"/>
      <c r="CJ26" s="517"/>
      <c r="CK26" s="517"/>
      <c r="CL26" s="517"/>
      <c r="CM26" s="517"/>
      <c r="CN26" s="517"/>
      <c r="CO26" s="517"/>
      <c r="CP26" s="517"/>
      <c r="CQ26" s="517"/>
      <c r="CR26" s="517"/>
      <c r="CS26" s="517"/>
      <c r="CT26" s="517"/>
      <c r="CU26" s="517"/>
      <c r="CV26" s="517"/>
      <c r="CW26" s="517"/>
      <c r="CX26" s="517"/>
      <c r="CY26" s="517"/>
      <c r="CZ26" s="517"/>
      <c r="DA26" s="517"/>
      <c r="DB26" s="517"/>
      <c r="DC26" s="517"/>
      <c r="DD26" s="517"/>
      <c r="DE26" s="517"/>
      <c r="DF26" s="517"/>
      <c r="DG26" s="517"/>
      <c r="DH26" s="517"/>
      <c r="DI26" s="517"/>
      <c r="DJ26" s="517"/>
      <c r="DK26" s="517"/>
      <c r="DL26" s="517"/>
      <c r="DM26" s="517"/>
      <c r="DN26" s="517"/>
      <c r="DO26" s="517"/>
      <c r="DP26" s="517"/>
      <c r="DQ26" s="517"/>
      <c r="DR26" s="517"/>
      <c r="DS26" s="517"/>
      <c r="DT26" s="517"/>
      <c r="DU26" s="517"/>
      <c r="DV26" s="517"/>
      <c r="DW26" s="517"/>
      <c r="DX26" s="517"/>
      <c r="DY26" s="517"/>
      <c r="DZ26" s="517"/>
    </row>
    <row r="27" spans="1:131 2330:2330" s="518" customFormat="1" ht="21" customHeight="1" x14ac:dyDescent="0.2">
      <c r="A27" s="436">
        <v>20</v>
      </c>
      <c r="B27" s="436" t="s">
        <v>138</v>
      </c>
      <c r="C27" s="436" t="s">
        <v>93</v>
      </c>
      <c r="D27" s="436" t="s">
        <v>206</v>
      </c>
      <c r="E27" s="486">
        <v>42066</v>
      </c>
      <c r="F27" s="491">
        <f t="shared" ref="F27:F33" si="41">IF(IF(E27="",0,ROUND(($P$3-E27)/30,0))&lt;0,0,IF(E27="",0,ROUND(($P$3-E27)/30,0)))</f>
        <v>56</v>
      </c>
      <c r="G27" s="492">
        <f>IF(VLOOKUP(F27,'he so'!C:D,2,0)=0,0,VLOOKUP(F27,'he so'!C:D,2,0))</f>
        <v>0.04</v>
      </c>
      <c r="H27" s="488">
        <f t="shared" si="3"/>
        <v>3745000</v>
      </c>
      <c r="I27" s="487" t="s">
        <v>661</v>
      </c>
      <c r="J27" s="487">
        <v>1</v>
      </c>
      <c r="K27" s="493">
        <v>3745000</v>
      </c>
      <c r="L27" s="488">
        <f>VLOOKUP(I27,'thang luong moi'!B:I,'BANG LUONG 1'!J27+1,0)</f>
        <v>4413750</v>
      </c>
      <c r="M27" s="489">
        <f>VLOOKUP(C27,CC!$C$5:$AJ$67,34,0)</f>
        <v>26</v>
      </c>
      <c r="N27" s="488">
        <f t="shared" si="30"/>
        <v>4413750</v>
      </c>
      <c r="O27" s="488">
        <f>VLOOKUP(C27,CC!$C$5:$AM$67,36,0)</f>
        <v>0</v>
      </c>
      <c r="P27" s="488">
        <f>VLOOKUP(C27,CC!$C$5:$BS$67,69,0)</f>
        <v>45</v>
      </c>
      <c r="Q27" s="488">
        <f>VLOOKUP(C27,CC!$C$5:$BT$67,70,0)</f>
        <v>16</v>
      </c>
      <c r="R27" s="488">
        <f>VLOOKUP(C27,CC!$C$5:$AM$67,37,0)</f>
        <v>1</v>
      </c>
      <c r="S27" s="488">
        <f>VLOOKUP(C27,CC!$C$5:$AM$67,35,0)</f>
        <v>0</v>
      </c>
      <c r="T27" s="488">
        <f t="shared" si="31"/>
        <v>6694894.831730769</v>
      </c>
      <c r="U27" s="488">
        <f>VLOOKUP(C27,'Công tổng'!$C$53:$BY$85,75,0)-N27</f>
        <v>5437656.5934065934</v>
      </c>
      <c r="V27" s="666">
        <f t="shared" si="37"/>
        <v>176550</v>
      </c>
      <c r="W27" s="488">
        <f t="shared" si="32"/>
        <v>176550</v>
      </c>
      <c r="X27" s="666">
        <f>(100%-VLOOKUP(C27,'chuyên cần'!$C$7:$AP$52,40,FALSE))*$X$4</f>
        <v>300000</v>
      </c>
      <c r="Y27" s="488"/>
      <c r="Z27" s="488">
        <f t="shared" ref="Z27:Z38" si="42">SUM(W27:Y27)</f>
        <v>476550</v>
      </c>
      <c r="AA27" s="490">
        <f t="shared" ref="AA27:AA38" si="43">Z27+U27+T27</f>
        <v>12609101.425137363</v>
      </c>
      <c r="AB27" s="669">
        <f>VLOOKUP(C27,'ung luong'!C91:F140,4,0)</f>
        <v>4000000</v>
      </c>
      <c r="AC27" s="490">
        <f t="shared" ref="AC27:AC38" si="44">AD27*$AC$3</f>
        <v>480585</v>
      </c>
      <c r="AD27" s="490">
        <v>4577000</v>
      </c>
      <c r="AE27" s="669">
        <v>100000</v>
      </c>
      <c r="AF27" s="490">
        <f t="shared" ref="AF27:AF38" si="45">AA27-AB27-AC27</f>
        <v>8128516.4251373634</v>
      </c>
      <c r="AG27" s="669">
        <f>VLOOKUP(C27,CC!$C$5:$BV$50,72,0)*22000</f>
        <v>0</v>
      </c>
      <c r="AH27" s="669">
        <f>VLOOKUP(C27,CC!$C$5:$BW$50,73,0)*22000</f>
        <v>264000</v>
      </c>
      <c r="AI27" s="490"/>
      <c r="AJ27" s="490">
        <f t="shared" si="38"/>
        <v>8493000</v>
      </c>
      <c r="AK27" s="669">
        <f t="shared" si="39"/>
        <v>8493000</v>
      </c>
      <c r="AL27" s="978">
        <v>8244000</v>
      </c>
      <c r="AM27" s="978">
        <f t="shared" si="40"/>
        <v>249000</v>
      </c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17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17"/>
      <c r="BV27" s="517"/>
      <c r="BW27" s="517"/>
      <c r="BX27" s="517"/>
      <c r="BY27" s="517"/>
      <c r="BZ27" s="517"/>
      <c r="CA27" s="517"/>
      <c r="CB27" s="517"/>
      <c r="CC27" s="517"/>
      <c r="CD27" s="517"/>
      <c r="CE27" s="517"/>
      <c r="CF27" s="517"/>
      <c r="CG27" s="517"/>
      <c r="CH27" s="517"/>
      <c r="CI27" s="517"/>
      <c r="CJ27" s="517"/>
      <c r="CK27" s="517"/>
      <c r="CL27" s="517"/>
      <c r="CM27" s="517"/>
      <c r="CN27" s="517"/>
      <c r="CO27" s="517"/>
      <c r="CP27" s="517"/>
      <c r="CQ27" s="517"/>
      <c r="CR27" s="517"/>
      <c r="CS27" s="517"/>
      <c r="CT27" s="517"/>
      <c r="CU27" s="517"/>
      <c r="CV27" s="517"/>
      <c r="CW27" s="517"/>
      <c r="CX27" s="517"/>
      <c r="CY27" s="517"/>
      <c r="CZ27" s="517"/>
      <c r="DA27" s="517"/>
      <c r="DB27" s="517"/>
      <c r="DC27" s="517"/>
      <c r="DD27" s="517"/>
      <c r="DE27" s="517"/>
      <c r="DF27" s="517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517"/>
      <c r="DT27" s="517"/>
      <c r="DU27" s="517"/>
      <c r="DV27" s="517"/>
      <c r="DW27" s="517"/>
      <c r="DX27" s="517"/>
      <c r="DY27" s="517"/>
      <c r="DZ27" s="517"/>
    </row>
    <row r="28" spans="1:131 2330:2330" s="518" customFormat="1" ht="21" customHeight="1" x14ac:dyDescent="0.2">
      <c r="A28" s="436">
        <v>21</v>
      </c>
      <c r="B28" s="436" t="s">
        <v>139</v>
      </c>
      <c r="C28" s="436" t="s">
        <v>74</v>
      </c>
      <c r="D28" s="436" t="s">
        <v>206</v>
      </c>
      <c r="E28" s="486">
        <v>37257</v>
      </c>
      <c r="F28" s="491">
        <f t="shared" si="41"/>
        <v>216</v>
      </c>
      <c r="G28" s="492">
        <f>IF(VLOOKUP(F28,'he so'!C:D,2,0)=0,0,VLOOKUP(F28,'he so'!C:D,2,0))</f>
        <v>0.17</v>
      </c>
      <c r="H28" s="488">
        <f t="shared" si="3"/>
        <v>3745000</v>
      </c>
      <c r="I28" s="487" t="s">
        <v>661</v>
      </c>
      <c r="J28" s="487">
        <v>2</v>
      </c>
      <c r="K28" s="493">
        <v>4119500.0000000009</v>
      </c>
      <c r="L28" s="488">
        <f>VLOOKUP(I28,'thang luong moi'!B:I,'BANG LUONG 1'!J28+1,0)</f>
        <v>4694625.0000000009</v>
      </c>
      <c r="M28" s="489">
        <f>VLOOKUP(C28,CC!$C$5:$AJ$67,34,0)</f>
        <v>26</v>
      </c>
      <c r="N28" s="488">
        <f t="shared" si="30"/>
        <v>4694625.0000000009</v>
      </c>
      <c r="O28" s="488">
        <f>VLOOKUP(C28,CC!$C$5:$AM$67,36,0)</f>
        <v>0</v>
      </c>
      <c r="P28" s="488">
        <f>VLOOKUP(C28,CC!$C$5:$BS$67,69,0)</f>
        <v>33.5</v>
      </c>
      <c r="Q28" s="488">
        <f>VLOOKUP(C28,CC!$C$5:$BT$67,70,0)</f>
        <v>16</v>
      </c>
      <c r="R28" s="488">
        <f>VLOOKUP(C28,CC!$C$5:$AM$67,37,0)</f>
        <v>1</v>
      </c>
      <c r="S28" s="488">
        <f>VLOOKUP(C28,CC!$C$5:$AM$67,35,0)</f>
        <v>0</v>
      </c>
      <c r="T28" s="488">
        <f t="shared" si="31"/>
        <v>6731595.7031250009</v>
      </c>
      <c r="U28" s="488">
        <f>VLOOKUP(C28,'Công tổng'!$C$53:$BY$85,75,0)-N28</f>
        <v>4200671.7032967033</v>
      </c>
      <c r="V28" s="666">
        <f t="shared" ref="V28:V38" si="46">+L28*G28</f>
        <v>798086.25000000023</v>
      </c>
      <c r="W28" s="488">
        <f t="shared" si="32"/>
        <v>798086.25000000023</v>
      </c>
      <c r="X28" s="666">
        <f>(100%-VLOOKUP(C28,'chuyên cần'!$C$7:$AP$52,40,FALSE))*$X$4</f>
        <v>300000</v>
      </c>
      <c r="Y28" s="488"/>
      <c r="Z28" s="488">
        <f t="shared" si="42"/>
        <v>1098086.2500000002</v>
      </c>
      <c r="AA28" s="490">
        <f t="shared" si="43"/>
        <v>12030353.656421704</v>
      </c>
      <c r="AB28" s="669">
        <f>VLOOKUP(C28,'ung luong'!C92:F141,4,0)</f>
        <v>0</v>
      </c>
      <c r="AC28" s="490">
        <f t="shared" si="44"/>
        <v>480585</v>
      </c>
      <c r="AD28" s="490">
        <v>4577000</v>
      </c>
      <c r="AE28" s="669">
        <v>100000</v>
      </c>
      <c r="AF28" s="490">
        <f t="shared" si="45"/>
        <v>11549768.656421704</v>
      </c>
      <c r="AG28" s="669">
        <f>VLOOKUP(C28,CC!$C$5:$BV$50,72,0)*22000</f>
        <v>0</v>
      </c>
      <c r="AH28" s="669">
        <f>VLOOKUP(C28,CC!$C$5:$BW$50,73,0)*22000</f>
        <v>110000</v>
      </c>
      <c r="AI28" s="490"/>
      <c r="AJ28" s="490">
        <f t="shared" si="38"/>
        <v>11760000</v>
      </c>
      <c r="AK28" s="669">
        <f t="shared" si="39"/>
        <v>11760000</v>
      </c>
      <c r="AL28" s="978">
        <v>11536000</v>
      </c>
      <c r="AM28" s="978">
        <f t="shared" si="40"/>
        <v>224000</v>
      </c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17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17"/>
      <c r="BV28" s="517"/>
      <c r="BW28" s="517"/>
      <c r="BX28" s="517"/>
      <c r="BY28" s="517"/>
      <c r="BZ28" s="517"/>
      <c r="CA28" s="517"/>
      <c r="CB28" s="517"/>
      <c r="CC28" s="517"/>
      <c r="CD28" s="517"/>
      <c r="CE28" s="517"/>
      <c r="CF28" s="517"/>
      <c r="CG28" s="517"/>
      <c r="CH28" s="517"/>
      <c r="CI28" s="517"/>
      <c r="CJ28" s="517"/>
      <c r="CK28" s="517"/>
      <c r="CL28" s="517"/>
      <c r="CM28" s="517"/>
      <c r="CN28" s="517"/>
      <c r="CO28" s="517"/>
      <c r="CP28" s="517"/>
      <c r="CQ28" s="517"/>
      <c r="CR28" s="517"/>
      <c r="CS28" s="517"/>
      <c r="CT28" s="517"/>
      <c r="CU28" s="517"/>
      <c r="CV28" s="517"/>
      <c r="CW28" s="517"/>
      <c r="CX28" s="517"/>
      <c r="CY28" s="517"/>
      <c r="CZ28" s="517"/>
      <c r="DA28" s="517"/>
      <c r="DB28" s="517"/>
      <c r="DC28" s="517"/>
      <c r="DD28" s="517"/>
      <c r="DE28" s="517"/>
      <c r="DF28" s="517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517"/>
      <c r="DT28" s="517"/>
      <c r="DU28" s="517"/>
      <c r="DV28" s="517"/>
      <c r="DW28" s="517"/>
      <c r="DX28" s="517"/>
      <c r="DY28" s="517"/>
      <c r="DZ28" s="517"/>
    </row>
    <row r="29" spans="1:131 2330:2330" s="518" customFormat="1" ht="21" customHeight="1" x14ac:dyDescent="0.2">
      <c r="A29" s="436">
        <v>22</v>
      </c>
      <c r="B29" s="436" t="s">
        <v>140</v>
      </c>
      <c r="C29" s="436" t="s">
        <v>80</v>
      </c>
      <c r="D29" s="436" t="s">
        <v>207</v>
      </c>
      <c r="E29" s="486">
        <v>42078</v>
      </c>
      <c r="F29" s="491">
        <f t="shared" si="41"/>
        <v>55</v>
      </c>
      <c r="G29" s="492">
        <f>IF(VLOOKUP(F29,'he so'!C:D,2,0)=0,0,VLOOKUP(F29,'he so'!C:D,2,0))</f>
        <v>0.04</v>
      </c>
      <c r="H29" s="488">
        <f t="shared" si="3"/>
        <v>3745000</v>
      </c>
      <c r="I29" s="487" t="s">
        <v>661</v>
      </c>
      <c r="J29" s="487">
        <v>1</v>
      </c>
      <c r="K29" s="493">
        <v>3745000</v>
      </c>
      <c r="L29" s="488">
        <f>VLOOKUP(I29,'thang luong moi'!B:I,'BANG LUONG 1'!J29+1,0)</f>
        <v>4413750</v>
      </c>
      <c r="M29" s="489">
        <f>VLOOKUP(C29,CC!$C$5:$AJ$67,34,0)</f>
        <v>26</v>
      </c>
      <c r="N29" s="488">
        <f t="shared" si="30"/>
        <v>4413750</v>
      </c>
      <c r="O29" s="488">
        <f>VLOOKUP(C29,CC!$C$5:$AM$67,36,0)</f>
        <v>0</v>
      </c>
      <c r="P29" s="488">
        <f>VLOOKUP(C29,CC!$C$5:$BS$67,69,0)</f>
        <v>69.5</v>
      </c>
      <c r="Q29" s="488">
        <f>VLOOKUP(C29,CC!$C$5:$BT$67,70,0)</f>
        <v>32</v>
      </c>
      <c r="R29" s="488">
        <f>VLOOKUP(C29,CC!$C$5:$AM$67,37,0)</f>
        <v>1</v>
      </c>
      <c r="S29" s="488">
        <f>VLOOKUP(C29,CC!$C$5:$AM$67,35,0)</f>
        <v>0</v>
      </c>
      <c r="T29" s="488">
        <f t="shared" si="31"/>
        <v>8153766.526442307</v>
      </c>
      <c r="U29" s="488">
        <f>VLOOKUP(C29,'Công tổng'!$C$53:$BY$85,75,0)-N29</f>
        <v>6864655.0235478822</v>
      </c>
      <c r="V29" s="666">
        <f t="shared" si="46"/>
        <v>176550</v>
      </c>
      <c r="W29" s="488">
        <f t="shared" si="32"/>
        <v>176550</v>
      </c>
      <c r="X29" s="666">
        <f>(100%-VLOOKUP(C29,'chuyên cần'!$C$7:$AP$52,40,FALSE))*$X$4</f>
        <v>300000</v>
      </c>
      <c r="Y29" s="488"/>
      <c r="Z29" s="488">
        <f t="shared" si="42"/>
        <v>476550</v>
      </c>
      <c r="AA29" s="490">
        <f t="shared" si="43"/>
        <v>15494971.549990188</v>
      </c>
      <c r="AB29" s="669">
        <f>VLOOKUP(C29,'ung luong'!C93:F142,4,0)</f>
        <v>3000000</v>
      </c>
      <c r="AC29" s="490">
        <f t="shared" si="44"/>
        <v>480585</v>
      </c>
      <c r="AD29" s="490">
        <v>4577000</v>
      </c>
      <c r="AE29" s="669">
        <v>100000</v>
      </c>
      <c r="AF29" s="490">
        <f t="shared" si="45"/>
        <v>12014386.549990188</v>
      </c>
      <c r="AG29" s="669">
        <f>VLOOKUP(C29,CC!$C$5:$BV$50,72,0)*22000</f>
        <v>0</v>
      </c>
      <c r="AH29" s="669">
        <f>VLOOKUP(C29,CC!$C$5:$BW$50,73,0)*22000</f>
        <v>308000</v>
      </c>
      <c r="AI29" s="490"/>
      <c r="AJ29" s="490">
        <f t="shared" si="38"/>
        <v>12422000</v>
      </c>
      <c r="AK29" s="669">
        <f t="shared" si="39"/>
        <v>12422000</v>
      </c>
      <c r="AL29" s="978">
        <v>12131000</v>
      </c>
      <c r="AM29" s="978">
        <f t="shared" si="40"/>
        <v>291000</v>
      </c>
      <c r="AN29" s="517"/>
      <c r="AO29" s="517"/>
      <c r="AP29" s="517"/>
      <c r="AQ29" s="517"/>
      <c r="AR29" s="517"/>
      <c r="AS29" s="517"/>
      <c r="AT29" s="517"/>
      <c r="AU29" s="517"/>
      <c r="AV29" s="517"/>
      <c r="AW29" s="517"/>
      <c r="AX29" s="517"/>
      <c r="AY29" s="517"/>
      <c r="AZ29" s="517"/>
      <c r="BA29" s="517"/>
      <c r="BB29" s="517"/>
      <c r="BC29" s="517"/>
      <c r="BD29" s="517"/>
      <c r="BE29" s="517"/>
      <c r="BF29" s="517"/>
      <c r="BG29" s="517"/>
      <c r="BH29" s="517"/>
      <c r="BI29" s="517"/>
      <c r="BJ29" s="517"/>
      <c r="BK29" s="517"/>
      <c r="BL29" s="517"/>
      <c r="BM29" s="517"/>
      <c r="BN29" s="517"/>
      <c r="BO29" s="517"/>
      <c r="BP29" s="517"/>
      <c r="BQ29" s="517"/>
      <c r="BR29" s="517"/>
      <c r="BS29" s="517"/>
      <c r="BT29" s="517"/>
      <c r="BU29" s="517"/>
      <c r="BV29" s="517"/>
      <c r="BW29" s="517"/>
      <c r="BX29" s="517"/>
      <c r="BY29" s="517"/>
      <c r="BZ29" s="517"/>
      <c r="CA29" s="517"/>
      <c r="CB29" s="517"/>
      <c r="CC29" s="517"/>
      <c r="CD29" s="517"/>
      <c r="CE29" s="517"/>
      <c r="CF29" s="517"/>
      <c r="CG29" s="517"/>
      <c r="CH29" s="517"/>
      <c r="CI29" s="517"/>
      <c r="CJ29" s="517"/>
      <c r="CK29" s="517"/>
      <c r="CL29" s="517"/>
      <c r="CM29" s="517"/>
      <c r="CN29" s="517"/>
      <c r="CO29" s="517"/>
      <c r="CP29" s="517"/>
      <c r="CQ29" s="517"/>
      <c r="CR29" s="517"/>
      <c r="CS29" s="517"/>
      <c r="CT29" s="517"/>
      <c r="CU29" s="517"/>
      <c r="CV29" s="517"/>
      <c r="CW29" s="517"/>
      <c r="CX29" s="517"/>
      <c r="CY29" s="517"/>
      <c r="CZ29" s="517"/>
      <c r="DA29" s="517"/>
      <c r="DB29" s="517"/>
      <c r="DC29" s="517"/>
      <c r="DD29" s="517"/>
      <c r="DE29" s="517"/>
      <c r="DF29" s="517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517"/>
      <c r="DT29" s="517"/>
      <c r="DU29" s="517"/>
      <c r="DV29" s="517"/>
      <c r="DW29" s="517"/>
      <c r="DX29" s="517"/>
      <c r="DY29" s="517"/>
      <c r="DZ29" s="517"/>
      <c r="EA29" s="517"/>
    </row>
    <row r="30" spans="1:131 2330:2330" s="518" customFormat="1" ht="26.25" customHeight="1" x14ac:dyDescent="0.2">
      <c r="A30" s="436">
        <v>23</v>
      </c>
      <c r="B30" s="436" t="s">
        <v>141</v>
      </c>
      <c r="C30" s="436" t="s">
        <v>762</v>
      </c>
      <c r="D30" s="436" t="s">
        <v>718</v>
      </c>
      <c r="E30" s="486">
        <v>42522</v>
      </c>
      <c r="F30" s="491">
        <f t="shared" si="41"/>
        <v>40</v>
      </c>
      <c r="G30" s="492">
        <f>IF(VLOOKUP(F30,'he so'!C:D,2,0)=0,0,VLOOKUP(F30,'he so'!C:D,2,0))</f>
        <v>0.03</v>
      </c>
      <c r="H30" s="488">
        <f t="shared" si="3"/>
        <v>3745000</v>
      </c>
      <c r="I30" s="487" t="s">
        <v>661</v>
      </c>
      <c r="J30" s="487">
        <v>1</v>
      </c>
      <c r="K30" s="493">
        <v>3745000</v>
      </c>
      <c r="L30" s="488">
        <f>VLOOKUP(I30,'thang luong moi'!B:I,'BANG LUONG 1'!J30+1,0)</f>
        <v>4413750</v>
      </c>
      <c r="M30" s="489">
        <f>VLOOKUP(C30,CC!$C$5:$AJ$67,34,0)</f>
        <v>0</v>
      </c>
      <c r="N30" s="488">
        <f t="shared" si="30"/>
        <v>0</v>
      </c>
      <c r="O30" s="488">
        <f>VLOOKUP(C30,CC!$C$5:$AM$67,36,0)</f>
        <v>26</v>
      </c>
      <c r="P30" s="488">
        <f>VLOOKUP(C30,CC!$C$5:$BS$67,69,0)</f>
        <v>0</v>
      </c>
      <c r="Q30" s="488">
        <f>VLOOKUP(C30,CC!$C$5:$BT$67,70,0)</f>
        <v>8</v>
      </c>
      <c r="R30" s="488">
        <f>VLOOKUP(C30,CC!$C$5:$AM$67,37,0)</f>
        <v>1</v>
      </c>
      <c r="S30" s="488">
        <f>VLOOKUP(C30,CC!$C$5:$AM$67,35,0)</f>
        <v>0</v>
      </c>
      <c r="T30" s="488">
        <f t="shared" si="31"/>
        <v>4923028.846153846</v>
      </c>
      <c r="U30" s="488">
        <f>VLOOKUP(C30,'Công tổng'!$C$53:$BY$85,75,0)-N30</f>
        <v>0</v>
      </c>
      <c r="V30" s="666">
        <f t="shared" si="46"/>
        <v>132412.5</v>
      </c>
      <c r="W30" s="488">
        <f t="shared" si="32"/>
        <v>132412.5</v>
      </c>
      <c r="X30" s="666">
        <f>(100%-VLOOKUP(C30,'chuyên cần'!$C$7:$AP$52,40,FALSE))*$X$4</f>
        <v>0</v>
      </c>
      <c r="Y30" s="488"/>
      <c r="Z30" s="488">
        <f t="shared" si="42"/>
        <v>132412.5</v>
      </c>
      <c r="AA30" s="490">
        <f t="shared" si="43"/>
        <v>5055441.346153846</v>
      </c>
      <c r="AB30" s="669">
        <f>VLOOKUP(C30,'ung luong'!C94:F143,4,0)</f>
        <v>0</v>
      </c>
      <c r="AC30" s="490">
        <f t="shared" si="44"/>
        <v>480585</v>
      </c>
      <c r="AD30" s="490">
        <v>4577000</v>
      </c>
      <c r="AE30" s="669">
        <v>100000</v>
      </c>
      <c r="AF30" s="490">
        <f t="shared" si="45"/>
        <v>4574856.346153846</v>
      </c>
      <c r="AG30" s="669">
        <f>VLOOKUP(C30,CC!$C$5:$BV$50,72,0)*22000</f>
        <v>0</v>
      </c>
      <c r="AH30" s="669">
        <f>VLOOKUP(C30,CC!$C$5:$BW$50,73,0)*22000</f>
        <v>0</v>
      </c>
      <c r="AI30" s="490"/>
      <c r="AJ30" s="490">
        <f t="shared" si="38"/>
        <v>4675000</v>
      </c>
      <c r="AK30" s="669">
        <f t="shared" si="39"/>
        <v>4675000</v>
      </c>
      <c r="AL30" s="978">
        <v>4675000</v>
      </c>
      <c r="AM30" s="978">
        <f t="shared" si="40"/>
        <v>0</v>
      </c>
      <c r="AN30" s="517"/>
      <c r="AO30" s="517"/>
      <c r="AP30" s="517"/>
      <c r="AQ30" s="517"/>
      <c r="AR30" s="517"/>
      <c r="AS30" s="517"/>
      <c r="AT30" s="517"/>
      <c r="AU30" s="517"/>
      <c r="AV30" s="517"/>
      <c r="AW30" s="517"/>
      <c r="AX30" s="517"/>
      <c r="AY30" s="517"/>
      <c r="AZ30" s="517"/>
      <c r="BA30" s="517"/>
      <c r="BB30" s="517"/>
      <c r="BC30" s="517"/>
      <c r="BD30" s="517"/>
      <c r="BE30" s="517"/>
      <c r="BF30" s="517"/>
      <c r="BG30" s="517"/>
      <c r="BH30" s="517"/>
      <c r="BI30" s="517"/>
      <c r="BJ30" s="517"/>
      <c r="BK30" s="517"/>
      <c r="BL30" s="517"/>
      <c r="BM30" s="517"/>
      <c r="BN30" s="517"/>
      <c r="BO30" s="517"/>
      <c r="BP30" s="517"/>
      <c r="BQ30" s="517"/>
      <c r="BR30" s="517"/>
      <c r="BS30" s="517"/>
      <c r="BT30" s="517"/>
      <c r="BU30" s="517"/>
      <c r="BV30" s="517"/>
      <c r="BW30" s="517"/>
      <c r="BX30" s="517"/>
      <c r="BY30" s="517"/>
      <c r="BZ30" s="517"/>
      <c r="CA30" s="517"/>
      <c r="CB30" s="517"/>
      <c r="CC30" s="517"/>
      <c r="CD30" s="517"/>
      <c r="CE30" s="517"/>
      <c r="CF30" s="517"/>
      <c r="CG30" s="517"/>
      <c r="CH30" s="517"/>
      <c r="CI30" s="517"/>
      <c r="CJ30" s="517"/>
      <c r="CK30" s="517"/>
      <c r="CL30" s="517"/>
      <c r="CM30" s="517"/>
      <c r="CN30" s="517"/>
      <c r="CO30" s="517"/>
      <c r="CP30" s="517"/>
      <c r="CQ30" s="517"/>
      <c r="CR30" s="517"/>
      <c r="CS30" s="517"/>
      <c r="CT30" s="517"/>
      <c r="CU30" s="517"/>
      <c r="CV30" s="517"/>
      <c r="CW30" s="517"/>
      <c r="CX30" s="517"/>
      <c r="CY30" s="517"/>
      <c r="CZ30" s="517"/>
      <c r="DA30" s="517"/>
      <c r="DB30" s="517"/>
      <c r="DC30" s="517"/>
      <c r="DD30" s="517"/>
      <c r="DE30" s="517"/>
      <c r="DF30" s="517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517"/>
      <c r="DT30" s="517"/>
      <c r="DU30" s="517"/>
      <c r="DV30" s="517"/>
      <c r="DW30" s="517"/>
      <c r="DX30" s="517"/>
      <c r="DY30" s="517"/>
      <c r="DZ30" s="517"/>
    </row>
    <row r="31" spans="1:131 2330:2330" s="518" customFormat="1" ht="26.25" customHeight="1" x14ac:dyDescent="0.2">
      <c r="A31" s="436">
        <v>24</v>
      </c>
      <c r="B31" s="436" t="s">
        <v>142</v>
      </c>
      <c r="C31" s="436" t="s">
        <v>787</v>
      </c>
      <c r="D31" s="436" t="s">
        <v>206</v>
      </c>
      <c r="E31" s="486">
        <v>43248</v>
      </c>
      <c r="F31" s="491">
        <f t="shared" si="41"/>
        <v>16</v>
      </c>
      <c r="G31" s="492">
        <f>IF(VLOOKUP(F31,'he so'!C:D,2,0)=0,0,VLOOKUP(F31,'he so'!C:D,2,0))</f>
        <v>0</v>
      </c>
      <c r="H31" s="488">
        <f t="shared" si="3"/>
        <v>3745000</v>
      </c>
      <c r="I31" s="487" t="s">
        <v>661</v>
      </c>
      <c r="J31" s="487">
        <v>1</v>
      </c>
      <c r="K31" s="493">
        <v>3745000</v>
      </c>
      <c r="L31" s="488">
        <f>VLOOKUP(I31,'thang luong moi'!B:I,'BANG LUONG 1'!J31+1,0)</f>
        <v>4413750</v>
      </c>
      <c r="M31" s="489">
        <f>VLOOKUP(C31,CC!$C$5:$AJ$67,34,0)</f>
        <v>26</v>
      </c>
      <c r="N31" s="488">
        <f t="shared" si="30"/>
        <v>4413750</v>
      </c>
      <c r="O31" s="488">
        <f>VLOOKUP(C31,CC!$C$5:$AM$67,36,0)</f>
        <v>0</v>
      </c>
      <c r="P31" s="488">
        <f>VLOOKUP(C31,CC!$C$5:$BS$67,69,0)</f>
        <v>78</v>
      </c>
      <c r="Q31" s="488">
        <f>VLOOKUP(C31,CC!$C$5:$BT$67,70,0)</f>
        <v>16</v>
      </c>
      <c r="R31" s="488">
        <f>VLOOKUP(C31,CC!$C$5:$AM$67,37,0)</f>
        <v>1</v>
      </c>
      <c r="S31" s="488">
        <f>VLOOKUP(C31,CC!$C$5:$AM$67,35,0)</f>
        <v>0</v>
      </c>
      <c r="T31" s="488">
        <f t="shared" si="31"/>
        <v>7745282.451923077</v>
      </c>
      <c r="U31" s="488">
        <f>VLOOKUP(C31,'Công tổng'!$C$53:$BY$85,75,0)-N31</f>
        <v>5859807.2998430151</v>
      </c>
      <c r="V31" s="666">
        <f t="shared" si="46"/>
        <v>0</v>
      </c>
      <c r="W31" s="488">
        <f t="shared" si="32"/>
        <v>0</v>
      </c>
      <c r="X31" s="666">
        <f>(100%-VLOOKUP(C31,'chuyên cần'!$C$7:$AP$52,40,FALSE))*$X$4</f>
        <v>300000</v>
      </c>
      <c r="Y31" s="488"/>
      <c r="Z31" s="488">
        <f t="shared" si="42"/>
        <v>300000</v>
      </c>
      <c r="AA31" s="490">
        <f t="shared" si="43"/>
        <v>13905089.751766093</v>
      </c>
      <c r="AB31" s="669">
        <f>VLOOKUP(C31,'ung luong'!C95:F144,4,0)</f>
        <v>4000000</v>
      </c>
      <c r="AC31" s="490">
        <f t="shared" si="44"/>
        <v>480585</v>
      </c>
      <c r="AD31" s="490">
        <v>4577000</v>
      </c>
      <c r="AE31" s="669">
        <v>100000</v>
      </c>
      <c r="AF31" s="490">
        <f t="shared" si="45"/>
        <v>9424504.7517660931</v>
      </c>
      <c r="AG31" s="669">
        <f>VLOOKUP(C31,CC!$C$5:$BV$50,72,0)*22000</f>
        <v>0</v>
      </c>
      <c r="AH31" s="669">
        <f>VLOOKUP(C31,CC!$C$5:$BW$50,73,0)*22000</f>
        <v>396000</v>
      </c>
      <c r="AI31" s="490"/>
      <c r="AJ31" s="490">
        <f t="shared" si="38"/>
        <v>9921000</v>
      </c>
      <c r="AK31" s="669">
        <f t="shared" si="39"/>
        <v>9921000</v>
      </c>
      <c r="AL31" s="978">
        <v>9921000</v>
      </c>
      <c r="AM31" s="978">
        <f t="shared" si="40"/>
        <v>0</v>
      </c>
      <c r="AN31" s="517"/>
      <c r="AO31" s="517"/>
      <c r="AP31" s="517"/>
      <c r="AQ31" s="517"/>
      <c r="AR31" s="517"/>
      <c r="AS31" s="517"/>
      <c r="AT31" s="517"/>
      <c r="AU31" s="517"/>
      <c r="AV31" s="517"/>
      <c r="AW31" s="517"/>
      <c r="AX31" s="517"/>
      <c r="AY31" s="517"/>
      <c r="AZ31" s="517"/>
      <c r="BA31" s="517"/>
      <c r="BB31" s="517"/>
      <c r="BC31" s="517"/>
      <c r="BD31" s="517"/>
      <c r="BE31" s="517"/>
      <c r="BF31" s="517"/>
      <c r="BG31" s="517"/>
      <c r="BH31" s="517"/>
      <c r="BI31" s="517"/>
      <c r="BJ31" s="517"/>
      <c r="BK31" s="517"/>
      <c r="BL31" s="517"/>
      <c r="BM31" s="517"/>
      <c r="BN31" s="517"/>
      <c r="BO31" s="517"/>
      <c r="BP31" s="517"/>
      <c r="BQ31" s="517"/>
      <c r="BR31" s="517"/>
      <c r="BS31" s="517"/>
      <c r="BT31" s="517"/>
      <c r="BU31" s="517"/>
      <c r="BV31" s="517"/>
      <c r="BW31" s="517"/>
      <c r="BX31" s="517"/>
      <c r="BY31" s="517"/>
      <c r="BZ31" s="517"/>
      <c r="CA31" s="517"/>
      <c r="CB31" s="517"/>
      <c r="CC31" s="517"/>
      <c r="CD31" s="517"/>
      <c r="CE31" s="517"/>
      <c r="CF31" s="517"/>
      <c r="CG31" s="517"/>
      <c r="CH31" s="517"/>
      <c r="CI31" s="517"/>
      <c r="CJ31" s="517"/>
      <c r="CK31" s="517"/>
      <c r="CL31" s="517"/>
      <c r="CM31" s="517"/>
      <c r="CN31" s="517"/>
      <c r="CO31" s="517"/>
      <c r="CP31" s="517"/>
      <c r="CQ31" s="517"/>
      <c r="CR31" s="517"/>
      <c r="CS31" s="517"/>
      <c r="CT31" s="517"/>
      <c r="CU31" s="517"/>
      <c r="CV31" s="517"/>
      <c r="CW31" s="517"/>
      <c r="CX31" s="517"/>
      <c r="CY31" s="517"/>
      <c r="CZ31" s="517"/>
      <c r="DA31" s="517"/>
      <c r="DB31" s="517"/>
      <c r="DC31" s="517"/>
      <c r="DD31" s="517"/>
      <c r="DE31" s="517"/>
      <c r="DF31" s="517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517"/>
      <c r="DT31" s="517"/>
      <c r="DU31" s="517"/>
      <c r="DV31" s="517"/>
      <c r="DW31" s="517"/>
      <c r="DX31" s="517"/>
      <c r="DY31" s="517"/>
      <c r="DZ31" s="517"/>
    </row>
    <row r="32" spans="1:131 2330:2330" s="518" customFormat="1" ht="26.25" customHeight="1" x14ac:dyDescent="0.2">
      <c r="A32" s="436">
        <v>25</v>
      </c>
      <c r="B32" s="436" t="s">
        <v>143</v>
      </c>
      <c r="C32" s="436" t="s">
        <v>788</v>
      </c>
      <c r="D32" s="436" t="s">
        <v>206</v>
      </c>
      <c r="E32" s="486">
        <v>43248</v>
      </c>
      <c r="F32" s="491">
        <f t="shared" si="41"/>
        <v>16</v>
      </c>
      <c r="G32" s="492">
        <f>IF(VLOOKUP(F32,'he so'!C:D,2,0)=0,0,VLOOKUP(F32,'he so'!C:D,2,0))</f>
        <v>0</v>
      </c>
      <c r="H32" s="488">
        <f t="shared" si="3"/>
        <v>3745000</v>
      </c>
      <c r="I32" s="487" t="s">
        <v>661</v>
      </c>
      <c r="J32" s="487">
        <v>1</v>
      </c>
      <c r="K32" s="493">
        <v>3745000</v>
      </c>
      <c r="L32" s="488">
        <f>VLOOKUP(I32,'thang luong moi'!B:I,'BANG LUONG 1'!J32+1,0)</f>
        <v>4413750</v>
      </c>
      <c r="M32" s="489">
        <f>VLOOKUP(C32,CC!$C$5:$AJ$67,34,0)</f>
        <v>26</v>
      </c>
      <c r="N32" s="488">
        <f t="shared" si="30"/>
        <v>4413750</v>
      </c>
      <c r="O32" s="488">
        <f>VLOOKUP(C32,CC!$C$5:$AM$67,36,0)</f>
        <v>0</v>
      </c>
      <c r="P32" s="488">
        <f>VLOOKUP(C32,CC!$C$5:$BS$67,69,0)</f>
        <v>30.5</v>
      </c>
      <c r="Q32" s="488">
        <f>VLOOKUP(C32,CC!$C$5:$BT$67,70,0)</f>
        <v>24</v>
      </c>
      <c r="R32" s="488">
        <f>VLOOKUP(C32,CC!$C$5:$AM$67,37,0)</f>
        <v>1</v>
      </c>
      <c r="S32" s="488">
        <f>VLOOKUP(C32,CC!$C$5:$AM$67,35,0)</f>
        <v>0</v>
      </c>
      <c r="T32" s="488">
        <f t="shared" si="31"/>
        <v>6572880.1081730761</v>
      </c>
      <c r="U32" s="488">
        <f>VLOOKUP(C32,'Công tổng'!$C$53:$BY$85,75,0)-N32</f>
        <v>1521228.0219780235</v>
      </c>
      <c r="V32" s="666">
        <f t="shared" si="46"/>
        <v>0</v>
      </c>
      <c r="W32" s="488">
        <f t="shared" si="32"/>
        <v>0</v>
      </c>
      <c r="X32" s="666">
        <f>(100%-VLOOKUP(C32,'chuyên cần'!$C$7:$AP$52,40,FALSE))*$X$4</f>
        <v>300000</v>
      </c>
      <c r="Y32" s="488"/>
      <c r="Z32" s="488">
        <f t="shared" si="42"/>
        <v>300000</v>
      </c>
      <c r="AA32" s="490">
        <f t="shared" si="43"/>
        <v>8394108.1301511005</v>
      </c>
      <c r="AB32" s="669">
        <f>VLOOKUP(C32,'ung luong'!C96:F145,4,0)</f>
        <v>3000000</v>
      </c>
      <c r="AC32" s="490">
        <f t="shared" si="44"/>
        <v>480585</v>
      </c>
      <c r="AD32" s="490">
        <v>4577000</v>
      </c>
      <c r="AE32" s="669">
        <v>100000</v>
      </c>
      <c r="AF32" s="490">
        <f t="shared" si="45"/>
        <v>4913523.1301511005</v>
      </c>
      <c r="AG32" s="669">
        <f>VLOOKUP(C32,CC!$C$5:$BV$50,72,0)*22000</f>
        <v>0</v>
      </c>
      <c r="AH32" s="669">
        <f>VLOOKUP(C32,CC!$C$5:$BW$50,73,0)*22000</f>
        <v>110000</v>
      </c>
      <c r="AI32" s="490"/>
      <c r="AJ32" s="490">
        <f t="shared" si="38"/>
        <v>5124000</v>
      </c>
      <c r="AK32" s="669">
        <f t="shared" si="39"/>
        <v>5124000</v>
      </c>
      <c r="AL32" s="978">
        <v>4987000</v>
      </c>
      <c r="AM32" s="978">
        <f t="shared" si="40"/>
        <v>137000</v>
      </c>
      <c r="AN32" s="517"/>
      <c r="AO32" s="517"/>
      <c r="AP32" s="517"/>
      <c r="AQ32" s="517"/>
      <c r="AR32" s="517"/>
      <c r="AS32" s="517"/>
      <c r="AT32" s="517"/>
      <c r="AU32" s="517"/>
      <c r="AV32" s="517"/>
      <c r="AW32" s="517"/>
      <c r="AX32" s="517"/>
      <c r="AY32" s="517"/>
      <c r="AZ32" s="517"/>
      <c r="BA32" s="517"/>
      <c r="BB32" s="517"/>
      <c r="BC32" s="517"/>
      <c r="BD32" s="517"/>
      <c r="BE32" s="517"/>
      <c r="BF32" s="517"/>
      <c r="BG32" s="517"/>
      <c r="BH32" s="517"/>
      <c r="BI32" s="517"/>
      <c r="BJ32" s="517"/>
      <c r="BK32" s="517"/>
      <c r="BL32" s="517"/>
      <c r="BM32" s="517"/>
      <c r="BN32" s="517"/>
      <c r="BO32" s="517"/>
      <c r="BP32" s="517"/>
      <c r="BQ32" s="517"/>
      <c r="BR32" s="517"/>
      <c r="BS32" s="517"/>
      <c r="BT32" s="517"/>
      <c r="BU32" s="517"/>
      <c r="BV32" s="517"/>
      <c r="BW32" s="517"/>
      <c r="BX32" s="517"/>
      <c r="BY32" s="517"/>
      <c r="BZ32" s="517"/>
      <c r="CA32" s="517"/>
      <c r="CB32" s="517"/>
      <c r="CC32" s="517"/>
      <c r="CD32" s="517"/>
      <c r="CE32" s="517"/>
      <c r="CF32" s="517"/>
      <c r="CG32" s="517"/>
      <c r="CH32" s="517"/>
      <c r="CI32" s="517"/>
      <c r="CJ32" s="517"/>
      <c r="CK32" s="517"/>
      <c r="CL32" s="517"/>
      <c r="CM32" s="517"/>
      <c r="CN32" s="517"/>
      <c r="CO32" s="517"/>
      <c r="CP32" s="517"/>
      <c r="CQ32" s="517"/>
      <c r="CR32" s="517"/>
      <c r="CS32" s="517"/>
      <c r="CT32" s="517"/>
      <c r="CU32" s="517"/>
      <c r="CV32" s="517"/>
      <c r="CW32" s="517"/>
      <c r="CX32" s="517"/>
      <c r="CY32" s="517"/>
      <c r="CZ32" s="517"/>
      <c r="DA32" s="517"/>
      <c r="DB32" s="517"/>
      <c r="DC32" s="517"/>
      <c r="DD32" s="517"/>
      <c r="DE32" s="517"/>
      <c r="DF32" s="517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517"/>
      <c r="DT32" s="517"/>
      <c r="DU32" s="517"/>
      <c r="DV32" s="517"/>
      <c r="DW32" s="517"/>
      <c r="DX32" s="517"/>
      <c r="DY32" s="517"/>
      <c r="DZ32" s="517"/>
    </row>
    <row r="33" spans="1:130 2330:2330" s="518" customFormat="1" ht="26.25" customHeight="1" x14ac:dyDescent="0.2">
      <c r="A33" s="436">
        <v>26</v>
      </c>
      <c r="B33" s="436" t="s">
        <v>144</v>
      </c>
      <c r="C33" s="436" t="s">
        <v>42</v>
      </c>
      <c r="D33" s="436" t="s">
        <v>206</v>
      </c>
      <c r="E33" s="486">
        <v>43246</v>
      </c>
      <c r="F33" s="491">
        <f t="shared" si="41"/>
        <v>16</v>
      </c>
      <c r="G33" s="492">
        <f>IF(VLOOKUP(F33,'he so'!C:D,2,0)=0,0,VLOOKUP(F33,'he so'!C:D,2,0))</f>
        <v>0</v>
      </c>
      <c r="H33" s="488">
        <f t="shared" si="3"/>
        <v>3745000</v>
      </c>
      <c r="I33" s="487" t="s">
        <v>661</v>
      </c>
      <c r="J33" s="487">
        <v>1</v>
      </c>
      <c r="K33" s="493">
        <v>3745000</v>
      </c>
      <c r="L33" s="488">
        <f>VLOOKUP(I33,'thang luong moi'!B:I,'BANG LUONG 1'!J33+1,0)</f>
        <v>4413750</v>
      </c>
      <c r="M33" s="489">
        <f>VLOOKUP(C33,CC!$C$5:$AJ$67,34,0)</f>
        <v>22</v>
      </c>
      <c r="N33" s="488">
        <f t="shared" si="30"/>
        <v>3734711.538461538</v>
      </c>
      <c r="O33" s="488">
        <f>VLOOKUP(C33,CC!$C$5:$AM$67,36,0)</f>
        <v>4</v>
      </c>
      <c r="P33" s="488">
        <f>VLOOKUP(C33,CC!$C$5:$BS$67,69,0)</f>
        <v>40.650000000000006</v>
      </c>
      <c r="Q33" s="488">
        <f>VLOOKUP(C33,CC!$C$5:$BT$67,70,0)</f>
        <v>24</v>
      </c>
      <c r="R33" s="488">
        <f>VLOOKUP(C33,CC!$C$5:$AM$67,37,0)</f>
        <v>1</v>
      </c>
      <c r="S33" s="488">
        <f>VLOOKUP(C33,CC!$C$5:$AM$67,35,0)</f>
        <v>0</v>
      </c>
      <c r="T33" s="488">
        <f t="shared" si="31"/>
        <v>6895953.876201923</v>
      </c>
      <c r="U33" s="488">
        <f>VLOOKUP(C33,'Công tổng'!$C$53:$BY$85,75,0)-N33</f>
        <v>119693.48508634325</v>
      </c>
      <c r="V33" s="666">
        <f t="shared" si="46"/>
        <v>0</v>
      </c>
      <c r="W33" s="488">
        <f t="shared" si="32"/>
        <v>0</v>
      </c>
      <c r="X33" s="666">
        <f>(100%-VLOOKUP(C33,'chuyên cần'!$C$7:$AP$52,40,FALSE))*$X$4</f>
        <v>75000</v>
      </c>
      <c r="Y33" s="488"/>
      <c r="Z33" s="488">
        <f t="shared" si="42"/>
        <v>75000</v>
      </c>
      <c r="AA33" s="490">
        <f t="shared" si="43"/>
        <v>7090647.3612882663</v>
      </c>
      <c r="AB33" s="669">
        <f>VLOOKUP(C33,'ung luong'!C97:F146,4,0)</f>
        <v>3000000</v>
      </c>
      <c r="AC33" s="490">
        <f t="shared" si="44"/>
        <v>480585</v>
      </c>
      <c r="AD33" s="490">
        <v>4577000</v>
      </c>
      <c r="AE33" s="669">
        <v>100000</v>
      </c>
      <c r="AF33" s="490">
        <f t="shared" si="45"/>
        <v>3610062.3612882663</v>
      </c>
      <c r="AG33" s="669">
        <f>VLOOKUP(C33,CC!$C$5:$BV$50,72,0)*22000</f>
        <v>0</v>
      </c>
      <c r="AH33" s="669">
        <f>VLOOKUP(C33,CC!$C$5:$BW$50,73,0)*22000</f>
        <v>242000</v>
      </c>
      <c r="AI33" s="490"/>
      <c r="AJ33" s="490">
        <f t="shared" si="38"/>
        <v>3952000</v>
      </c>
      <c r="AK33" s="669">
        <f t="shared" si="39"/>
        <v>3952000</v>
      </c>
      <c r="AL33" s="978">
        <v>3952000</v>
      </c>
      <c r="AM33" s="978">
        <f t="shared" si="40"/>
        <v>0</v>
      </c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17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17"/>
      <c r="BV33" s="517"/>
      <c r="BW33" s="517"/>
      <c r="BX33" s="517"/>
      <c r="BY33" s="517"/>
      <c r="BZ33" s="517"/>
      <c r="CA33" s="517"/>
      <c r="CB33" s="517"/>
      <c r="CC33" s="517"/>
      <c r="CD33" s="517"/>
      <c r="CE33" s="517"/>
      <c r="CF33" s="517"/>
      <c r="CG33" s="517"/>
      <c r="CH33" s="517"/>
      <c r="CI33" s="517"/>
      <c r="CJ33" s="517"/>
      <c r="CK33" s="517"/>
      <c r="CL33" s="517"/>
      <c r="CM33" s="517"/>
      <c r="CN33" s="517"/>
      <c r="CO33" s="517"/>
      <c r="CP33" s="517"/>
      <c r="CQ33" s="517"/>
      <c r="CR33" s="517"/>
      <c r="CS33" s="517"/>
      <c r="CT33" s="517"/>
      <c r="CU33" s="517"/>
      <c r="CV33" s="517"/>
      <c r="CW33" s="517"/>
      <c r="CX33" s="517"/>
      <c r="CY33" s="517"/>
      <c r="CZ33" s="517"/>
      <c r="DA33" s="517"/>
      <c r="DB33" s="517"/>
      <c r="DC33" s="517"/>
      <c r="DD33" s="517"/>
      <c r="DE33" s="517"/>
      <c r="DF33" s="517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517"/>
      <c r="DT33" s="517"/>
      <c r="DU33" s="517"/>
      <c r="DV33" s="517"/>
      <c r="DW33" s="517"/>
      <c r="DX33" s="517"/>
      <c r="DY33" s="517"/>
      <c r="DZ33" s="517"/>
    </row>
    <row r="34" spans="1:130 2330:2330" s="518" customFormat="1" ht="21" customHeight="1" x14ac:dyDescent="0.2">
      <c r="A34" s="436">
        <v>27</v>
      </c>
      <c r="B34" s="436" t="s">
        <v>145</v>
      </c>
      <c r="C34" s="436" t="s">
        <v>756</v>
      </c>
      <c r="D34" s="436" t="s">
        <v>206</v>
      </c>
      <c r="E34" s="486">
        <v>42789</v>
      </c>
      <c r="F34" s="491">
        <f t="shared" ref="F34:F38" si="47">IF(IF(E34="",0,ROUND(($P$3-E34)/30,0))&lt;0,0,IF(E34="",0,ROUND(($P$3-E34)/30,0)))</f>
        <v>31</v>
      </c>
      <c r="G34" s="492">
        <f>IF(VLOOKUP(F34,'he so'!C:D,2,0)=0,0,VLOOKUP(F34,'he so'!C:D,2,0))</f>
        <v>0</v>
      </c>
      <c r="H34" s="488">
        <f t="shared" si="3"/>
        <v>3745000</v>
      </c>
      <c r="I34" s="487" t="s">
        <v>661</v>
      </c>
      <c r="J34" s="487">
        <v>1</v>
      </c>
      <c r="K34" s="493">
        <v>3745000</v>
      </c>
      <c r="L34" s="488">
        <f>VLOOKUP(I34,'thang luong moi'!B:I,'BANG LUONG 1'!J34+1,0)</f>
        <v>4413750</v>
      </c>
      <c r="M34" s="489">
        <f>VLOOKUP(C34,CC!$C$5:$AJ$67,34,0)</f>
        <v>22</v>
      </c>
      <c r="N34" s="488">
        <f t="shared" si="30"/>
        <v>3734711.538461538</v>
      </c>
      <c r="O34" s="488">
        <f>VLOOKUP(C34,CC!$C$5:$AM$67,36,0)</f>
        <v>1</v>
      </c>
      <c r="P34" s="488">
        <f>VLOOKUP(C34,CC!$C$5:$BS$67,69,0)</f>
        <v>32.9</v>
      </c>
      <c r="Q34" s="488">
        <f>VLOOKUP(C34,CC!$C$5:$BT$67,70,0)</f>
        <v>8</v>
      </c>
      <c r="R34" s="488">
        <f>VLOOKUP(C34,CC!$C$5:$AM$67,37,0)</f>
        <v>1</v>
      </c>
      <c r="S34" s="488">
        <f>VLOOKUP(C34,CC!$C$5:$AM$67,35,0)</f>
        <v>0</v>
      </c>
      <c r="T34" s="488">
        <f t="shared" si="31"/>
        <v>5460954.627403846</v>
      </c>
      <c r="U34" s="488">
        <f>VLOOKUP(C34,'Công tổng'!$C$53:$BY$85,75,0)-N34</f>
        <v>3506638.5400313968</v>
      </c>
      <c r="V34" s="666">
        <f t="shared" si="46"/>
        <v>0</v>
      </c>
      <c r="W34" s="488">
        <f t="shared" si="32"/>
        <v>0</v>
      </c>
      <c r="X34" s="666">
        <f>(100%-VLOOKUP(C34,'chuyên cần'!$C$7:$AP$52,40,FALSE))*$X$4</f>
        <v>0</v>
      </c>
      <c r="Y34" s="488"/>
      <c r="Z34" s="488">
        <f t="shared" si="42"/>
        <v>0</v>
      </c>
      <c r="AA34" s="490">
        <f t="shared" si="43"/>
        <v>8967593.1674352437</v>
      </c>
      <c r="AB34" s="669">
        <f>VLOOKUP(C34,'ung luong'!C98:F147,4,0)</f>
        <v>4000000</v>
      </c>
      <c r="AC34" s="490">
        <f t="shared" si="44"/>
        <v>480585</v>
      </c>
      <c r="AD34" s="669">
        <v>4577000</v>
      </c>
      <c r="AE34" s="669">
        <v>100000</v>
      </c>
      <c r="AF34" s="490">
        <f t="shared" si="45"/>
        <v>4487008.1674352437</v>
      </c>
      <c r="AG34" s="669">
        <f>VLOOKUP(C34,CC!$C$5:$BV$50,72,0)*22000</f>
        <v>0</v>
      </c>
      <c r="AH34" s="669">
        <f>VLOOKUP(C34,CC!$C$5:$BW$50,73,0)*22000</f>
        <v>132000</v>
      </c>
      <c r="AI34" s="490"/>
      <c r="AJ34" s="490">
        <f t="shared" si="38"/>
        <v>4719000</v>
      </c>
      <c r="AK34" s="669">
        <f t="shared" si="39"/>
        <v>4719000</v>
      </c>
      <c r="AL34" s="978">
        <v>4719000</v>
      </c>
      <c r="AM34" s="978">
        <f t="shared" si="40"/>
        <v>0</v>
      </c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17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17"/>
      <c r="BV34" s="517"/>
      <c r="BW34" s="517"/>
      <c r="BX34" s="517"/>
      <c r="BY34" s="517"/>
      <c r="BZ34" s="517"/>
      <c r="CA34" s="517"/>
      <c r="CB34" s="517"/>
      <c r="CC34" s="517"/>
      <c r="CD34" s="517"/>
      <c r="CE34" s="517"/>
      <c r="CF34" s="517"/>
      <c r="CG34" s="517"/>
      <c r="CH34" s="517"/>
      <c r="CI34" s="517"/>
      <c r="CJ34" s="517"/>
      <c r="CK34" s="517"/>
      <c r="CL34" s="517"/>
      <c r="CM34" s="517"/>
      <c r="CN34" s="517"/>
      <c r="CO34" s="517"/>
      <c r="CP34" s="517"/>
      <c r="CQ34" s="517"/>
      <c r="CR34" s="517"/>
      <c r="CS34" s="517"/>
      <c r="CT34" s="517"/>
      <c r="CU34" s="517"/>
      <c r="CV34" s="517"/>
      <c r="CW34" s="517"/>
      <c r="CX34" s="517"/>
      <c r="CY34" s="517"/>
      <c r="CZ34" s="517"/>
      <c r="DA34" s="517"/>
      <c r="DB34" s="517"/>
      <c r="DC34" s="517"/>
      <c r="DD34" s="517"/>
      <c r="DE34" s="517"/>
      <c r="DF34" s="517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517"/>
      <c r="DT34" s="517"/>
      <c r="DU34" s="517"/>
      <c r="DV34" s="517"/>
      <c r="DW34" s="517"/>
      <c r="DX34" s="517"/>
      <c r="DY34" s="517"/>
      <c r="DZ34" s="517"/>
    </row>
    <row r="35" spans="1:130 2330:2330" s="518" customFormat="1" ht="26.25" customHeight="1" x14ac:dyDescent="0.2">
      <c r="A35" s="436">
        <v>28</v>
      </c>
      <c r="B35" s="436" t="s">
        <v>147</v>
      </c>
      <c r="C35" s="436" t="s">
        <v>714</v>
      </c>
      <c r="D35" s="436" t="s">
        <v>206</v>
      </c>
      <c r="E35" s="486">
        <v>42375</v>
      </c>
      <c r="F35" s="491">
        <f t="shared" si="47"/>
        <v>45</v>
      </c>
      <c r="G35" s="492">
        <f>IF(VLOOKUP(F35,'he so'!C:D,2,0)=0,0,VLOOKUP(F35,'he so'!C:D,2,0))</f>
        <v>0.03</v>
      </c>
      <c r="H35" s="488">
        <f t="shared" si="3"/>
        <v>3745000</v>
      </c>
      <c r="I35" s="487" t="s">
        <v>661</v>
      </c>
      <c r="J35" s="487">
        <v>1</v>
      </c>
      <c r="K35" s="493">
        <v>3745000</v>
      </c>
      <c r="L35" s="488">
        <f>VLOOKUP(I35,'thang luong moi'!B:I,'BANG LUONG 1'!J35+1,0)</f>
        <v>4413750</v>
      </c>
      <c r="M35" s="489">
        <f>VLOOKUP(C35,CC!$C$5:$AJ$67,34,0)</f>
        <v>20</v>
      </c>
      <c r="N35" s="488">
        <f t="shared" si="30"/>
        <v>3395192.3076923075</v>
      </c>
      <c r="O35" s="488">
        <f>VLOOKUP(C35,CC!$C$5:$AM$67,36,0)</f>
        <v>6</v>
      </c>
      <c r="P35" s="488">
        <f>VLOOKUP(C35,CC!$C$5:$BS$67,69,0)</f>
        <v>9</v>
      </c>
      <c r="Q35" s="488">
        <f>VLOOKUP(C35,CC!$C$5:$BT$67,70,0)</f>
        <v>12</v>
      </c>
      <c r="R35" s="488">
        <f>VLOOKUP(C35,CC!$C$5:$AM$67,37,0)</f>
        <v>1</v>
      </c>
      <c r="S35" s="488">
        <f>VLOOKUP(C35,CC!$C$5:$AM$67,35,0)</f>
        <v>0</v>
      </c>
      <c r="T35" s="488">
        <f t="shared" si="31"/>
        <v>5379257.8124999991</v>
      </c>
      <c r="U35" s="488">
        <f>VLOOKUP(C35,'Công tổng'!$C$53:$BY$85,75,0)-N35</f>
        <v>-966620.87912087888</v>
      </c>
      <c r="V35" s="666">
        <f t="shared" si="46"/>
        <v>132412.5</v>
      </c>
      <c r="W35" s="488">
        <f t="shared" si="32"/>
        <v>132412.5</v>
      </c>
      <c r="X35" s="666">
        <f>(100%-VLOOKUP(C35,'chuyên cần'!$C$7:$AP$52,40,FALSE))*$X$4</f>
        <v>0</v>
      </c>
      <c r="Y35" s="488"/>
      <c r="Z35" s="488">
        <f t="shared" si="42"/>
        <v>132412.5</v>
      </c>
      <c r="AA35" s="490">
        <f>Z35+U35+T35</f>
        <v>4545049.4333791202</v>
      </c>
      <c r="AB35" s="669">
        <f>VLOOKUP(C35,'ung luong'!C99:F149,4,0)</f>
        <v>4000000</v>
      </c>
      <c r="AC35" s="490">
        <f t="shared" si="44"/>
        <v>480585</v>
      </c>
      <c r="AD35" s="669">
        <v>4577000</v>
      </c>
      <c r="AE35" s="669">
        <v>100000</v>
      </c>
      <c r="AF35" s="490">
        <f t="shared" si="45"/>
        <v>64464.433379120193</v>
      </c>
      <c r="AG35" s="669">
        <f>VLOOKUP(C35,CC!$C$5:$BV$50,72,0)*22000</f>
        <v>0</v>
      </c>
      <c r="AH35" s="669">
        <f>VLOOKUP(C35,CC!$C$5:$BW$50,73,0)*22000</f>
        <v>44000</v>
      </c>
      <c r="AI35" s="490"/>
      <c r="AJ35" s="490">
        <f t="shared" si="38"/>
        <v>208000</v>
      </c>
      <c r="AK35" s="669">
        <f t="shared" si="39"/>
        <v>208000</v>
      </c>
      <c r="AL35" s="978">
        <v>208000</v>
      </c>
      <c r="AM35" s="978">
        <f t="shared" si="40"/>
        <v>0</v>
      </c>
      <c r="AN35" s="517"/>
      <c r="AO35" s="517"/>
      <c r="AP35" s="517"/>
      <c r="AQ35" s="517"/>
      <c r="AR35" s="517"/>
      <c r="AS35" s="517"/>
      <c r="AT35" s="517"/>
      <c r="AU35" s="517"/>
      <c r="AV35" s="517"/>
      <c r="AW35" s="517"/>
      <c r="AX35" s="517"/>
      <c r="AY35" s="517"/>
      <c r="AZ35" s="517"/>
      <c r="BA35" s="517"/>
      <c r="BB35" s="517"/>
      <c r="BC35" s="517"/>
      <c r="BD35" s="517"/>
      <c r="BE35" s="517"/>
      <c r="BF35" s="517"/>
      <c r="BG35" s="517"/>
      <c r="BH35" s="517"/>
      <c r="BI35" s="517"/>
      <c r="BJ35" s="517"/>
      <c r="BK35" s="517"/>
      <c r="BL35" s="517"/>
      <c r="BM35" s="517"/>
      <c r="BN35" s="517"/>
      <c r="BO35" s="517"/>
      <c r="BP35" s="517"/>
      <c r="BQ35" s="517"/>
      <c r="BR35" s="517"/>
      <c r="BS35" s="517"/>
      <c r="BT35" s="517"/>
      <c r="BU35" s="517"/>
      <c r="BV35" s="517"/>
      <c r="BW35" s="517"/>
      <c r="BX35" s="517"/>
      <c r="BY35" s="517"/>
      <c r="BZ35" s="517"/>
      <c r="CA35" s="517"/>
      <c r="CB35" s="517"/>
      <c r="CC35" s="517"/>
      <c r="CD35" s="517"/>
      <c r="CE35" s="517"/>
      <c r="CF35" s="517"/>
      <c r="CG35" s="517"/>
      <c r="CH35" s="517"/>
      <c r="CI35" s="517"/>
      <c r="CJ35" s="517"/>
      <c r="CK35" s="517"/>
      <c r="CL35" s="517"/>
      <c r="CM35" s="517"/>
      <c r="CN35" s="517"/>
      <c r="CO35" s="517"/>
      <c r="CP35" s="517"/>
      <c r="CQ35" s="517"/>
      <c r="CR35" s="517"/>
      <c r="CS35" s="517"/>
      <c r="CT35" s="517"/>
      <c r="CU35" s="517"/>
      <c r="CV35" s="517"/>
      <c r="CW35" s="517"/>
      <c r="CX35" s="517"/>
      <c r="CY35" s="517"/>
      <c r="CZ35" s="517"/>
      <c r="DA35" s="517"/>
      <c r="DB35" s="517"/>
      <c r="DC35" s="517"/>
      <c r="DD35" s="517"/>
      <c r="DE35" s="517"/>
      <c r="DF35" s="517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517"/>
      <c r="DT35" s="517"/>
      <c r="DU35" s="517"/>
      <c r="DV35" s="517"/>
      <c r="DW35" s="517"/>
      <c r="DX35" s="517"/>
      <c r="DY35" s="517"/>
      <c r="DZ35" s="517"/>
    </row>
    <row r="36" spans="1:130 2330:2330" s="518" customFormat="1" ht="26.25" customHeight="1" x14ac:dyDescent="0.2">
      <c r="A36" s="436">
        <v>29</v>
      </c>
      <c r="B36" s="436" t="s">
        <v>148</v>
      </c>
      <c r="C36" s="436" t="s">
        <v>774</v>
      </c>
      <c r="D36" s="436" t="s">
        <v>206</v>
      </c>
      <c r="E36" s="486">
        <v>41956</v>
      </c>
      <c r="F36" s="491">
        <f t="shared" si="47"/>
        <v>59</v>
      </c>
      <c r="G36" s="492">
        <f>IF(VLOOKUP(F36,'he so'!C:D,2,0)=0,0,VLOOKUP(F36,'he so'!C:D,2,0))</f>
        <v>0.04</v>
      </c>
      <c r="H36" s="488">
        <f t="shared" si="3"/>
        <v>3745000</v>
      </c>
      <c r="I36" s="487" t="s">
        <v>661</v>
      </c>
      <c r="J36" s="487">
        <v>1</v>
      </c>
      <c r="K36" s="493">
        <v>3745000</v>
      </c>
      <c r="L36" s="488">
        <f>VLOOKUP(I36,'thang luong moi'!B:I,'BANG LUONG 1'!J36+1,0)</f>
        <v>4413750</v>
      </c>
      <c r="M36" s="489">
        <f>VLOOKUP(C36,CC!$C$5:$AJ$67,34,0)</f>
        <v>22</v>
      </c>
      <c r="N36" s="488">
        <f t="shared" si="30"/>
        <v>3734711.538461538</v>
      </c>
      <c r="O36" s="488">
        <f>VLOOKUP(C36,CC!$C$5:$AM$67,36,0)</f>
        <v>4</v>
      </c>
      <c r="P36" s="488">
        <f>VLOOKUP(C36,CC!$C$5:$BS$67,69,0)</f>
        <v>32</v>
      </c>
      <c r="Q36" s="488">
        <f>VLOOKUP(C36,CC!$C$5:$BT$67,70,0)</f>
        <v>8</v>
      </c>
      <c r="R36" s="488">
        <f>VLOOKUP(C36,CC!$C$5:$AM$67,37,0)</f>
        <v>1</v>
      </c>
      <c r="S36" s="488">
        <f>VLOOKUP(C36,CC!$C$5:$AM$67,35,0)</f>
        <v>0</v>
      </c>
      <c r="T36" s="488">
        <f t="shared" si="31"/>
        <v>5941586.538461538</v>
      </c>
      <c r="U36" s="488">
        <f>VLOOKUP(C36,'Công tổng'!$C$53:$BY$85,75,0)-N36</f>
        <v>3676905.41601256</v>
      </c>
      <c r="V36" s="666">
        <f t="shared" si="46"/>
        <v>176550</v>
      </c>
      <c r="W36" s="488">
        <f t="shared" si="32"/>
        <v>176550</v>
      </c>
      <c r="X36" s="666">
        <f>(100%-VLOOKUP(C36,'chuyên cần'!$C$7:$AP$52,40,FALSE))*$X$4</f>
        <v>75000</v>
      </c>
      <c r="Y36" s="488"/>
      <c r="Z36" s="488">
        <f t="shared" si="42"/>
        <v>251550</v>
      </c>
      <c r="AA36" s="490">
        <f t="shared" si="43"/>
        <v>9870041.954474099</v>
      </c>
      <c r="AB36" s="669">
        <f>VLOOKUP(C36,'ung luong'!C100:F150,4,0)</f>
        <v>3500000</v>
      </c>
      <c r="AC36" s="490">
        <f t="shared" si="44"/>
        <v>480585</v>
      </c>
      <c r="AD36" s="669">
        <v>4577000</v>
      </c>
      <c r="AE36" s="669">
        <v>100000</v>
      </c>
      <c r="AF36" s="490">
        <f t="shared" si="45"/>
        <v>5889456.954474099</v>
      </c>
      <c r="AG36" s="669">
        <f>VLOOKUP(C36,CC!$C$5:$BV$50,72,0)*22000</f>
        <v>0</v>
      </c>
      <c r="AH36" s="669">
        <f>VLOOKUP(C36,CC!$C$5:$BW$50,73,0)*22000</f>
        <v>154000</v>
      </c>
      <c r="AI36" s="490"/>
      <c r="AJ36" s="490">
        <f>ROUND(AF36,-3)+AI36+AG36+AH36+AE36</f>
        <v>6143000</v>
      </c>
      <c r="AK36" s="669">
        <f t="shared" si="39"/>
        <v>6143000</v>
      </c>
      <c r="AL36" s="978">
        <v>5952000</v>
      </c>
      <c r="AM36" s="978">
        <f t="shared" si="40"/>
        <v>191000</v>
      </c>
      <c r="AN36" s="517"/>
      <c r="AO36" s="517"/>
      <c r="AP36" s="517"/>
      <c r="AQ36" s="517"/>
      <c r="AR36" s="517"/>
      <c r="AS36" s="517"/>
      <c r="AT36" s="517"/>
      <c r="AU36" s="517"/>
      <c r="AV36" s="517"/>
      <c r="AW36" s="517"/>
      <c r="AX36" s="517"/>
      <c r="AY36" s="517"/>
      <c r="AZ36" s="517"/>
      <c r="BA36" s="517"/>
      <c r="BB36" s="517"/>
      <c r="BC36" s="517"/>
      <c r="BD36" s="517"/>
      <c r="BE36" s="517"/>
      <c r="BF36" s="517"/>
      <c r="BG36" s="517"/>
      <c r="BH36" s="517"/>
      <c r="BI36" s="517"/>
      <c r="BJ36" s="517"/>
      <c r="BK36" s="517"/>
      <c r="BL36" s="517"/>
      <c r="BM36" s="517"/>
      <c r="BN36" s="517"/>
      <c r="BO36" s="517"/>
      <c r="BP36" s="517"/>
      <c r="BQ36" s="517"/>
      <c r="BR36" s="517"/>
      <c r="BS36" s="517"/>
      <c r="BT36" s="517"/>
      <c r="BU36" s="517"/>
      <c r="BV36" s="517"/>
      <c r="BW36" s="517"/>
      <c r="BX36" s="517"/>
      <c r="BY36" s="517"/>
      <c r="BZ36" s="517"/>
      <c r="CA36" s="517"/>
      <c r="CB36" s="517"/>
      <c r="CC36" s="517"/>
      <c r="CD36" s="517"/>
      <c r="CE36" s="517"/>
      <c r="CF36" s="517"/>
      <c r="CG36" s="517"/>
      <c r="CH36" s="517"/>
      <c r="CI36" s="517"/>
      <c r="CJ36" s="517"/>
      <c r="CK36" s="517"/>
      <c r="CL36" s="517"/>
      <c r="CM36" s="517"/>
      <c r="CN36" s="517"/>
      <c r="CO36" s="517"/>
      <c r="CP36" s="517"/>
      <c r="CQ36" s="517"/>
      <c r="CR36" s="517"/>
      <c r="CS36" s="517"/>
      <c r="CT36" s="517"/>
      <c r="CU36" s="517"/>
      <c r="CV36" s="517"/>
      <c r="CW36" s="517"/>
      <c r="CX36" s="517"/>
      <c r="CY36" s="517"/>
      <c r="CZ36" s="517"/>
      <c r="DA36" s="517"/>
      <c r="DB36" s="517"/>
      <c r="DC36" s="517"/>
      <c r="DD36" s="517"/>
      <c r="DE36" s="517"/>
      <c r="DF36" s="517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517"/>
      <c r="DT36" s="517"/>
      <c r="DU36" s="517"/>
      <c r="DV36" s="517"/>
      <c r="DW36" s="517"/>
      <c r="DX36" s="517"/>
      <c r="DY36" s="517"/>
      <c r="DZ36" s="517"/>
    </row>
    <row r="37" spans="1:130 2330:2330" s="518" customFormat="1" ht="26.25" customHeight="1" x14ac:dyDescent="0.2">
      <c r="A37" s="436">
        <v>30</v>
      </c>
      <c r="B37" s="436" t="s">
        <v>149</v>
      </c>
      <c r="C37" s="436" t="s">
        <v>747</v>
      </c>
      <c r="D37" s="436" t="s">
        <v>809</v>
      </c>
      <c r="E37" s="800">
        <v>42766</v>
      </c>
      <c r="F37" s="491">
        <f t="shared" si="47"/>
        <v>32</v>
      </c>
      <c r="G37" s="492">
        <f>IF(VLOOKUP(F37,'he so'!C:D,2,0)=0,0,VLOOKUP(F37,'he so'!C:D,2,0))</f>
        <v>0</v>
      </c>
      <c r="H37" s="488">
        <f t="shared" si="3"/>
        <v>3745000</v>
      </c>
      <c r="I37" s="487" t="s">
        <v>661</v>
      </c>
      <c r="J37" s="487">
        <v>1</v>
      </c>
      <c r="K37" s="493">
        <v>3745000</v>
      </c>
      <c r="L37" s="488">
        <f>VLOOKUP(I37,'thang luong moi'!B:I,'BANG LUONG 1'!J37+1,0)</f>
        <v>4413750</v>
      </c>
      <c r="M37" s="489">
        <f>VLOOKUP(C37,CC!$C$5:$AJ$67,34,0)</f>
        <v>25</v>
      </c>
      <c r="N37" s="488">
        <f t="shared" si="30"/>
        <v>4243990.384615384</v>
      </c>
      <c r="O37" s="488">
        <f>VLOOKUP(C37,CC!$C$5:$AM$67,36,0)</f>
        <v>1</v>
      </c>
      <c r="P37" s="488">
        <f>VLOOKUP(C37,CC!$C$5:$BS$67,69,0)</f>
        <v>61.5</v>
      </c>
      <c r="Q37" s="488">
        <f>VLOOKUP(C37,CC!$C$5:$BT$67,70,0)</f>
        <v>40</v>
      </c>
      <c r="R37" s="488">
        <f>VLOOKUP(C37,CC!$C$5:$AM$67,37,0)</f>
        <v>1</v>
      </c>
      <c r="S37" s="488">
        <f>VLOOKUP(C37,CC!$C$5:$AM$67,35,0)</f>
        <v>0</v>
      </c>
      <c r="T37" s="488">
        <f t="shared" si="31"/>
        <v>8238646.3341346141</v>
      </c>
      <c r="U37" s="488">
        <f>VLOOKUP(C37,'Công tổng'!$C$53:$BY$85,75,0)-N37</f>
        <v>6448405.2197802216</v>
      </c>
      <c r="V37" s="666">
        <f t="shared" si="46"/>
        <v>0</v>
      </c>
      <c r="W37" s="488">
        <f t="shared" si="32"/>
        <v>0</v>
      </c>
      <c r="X37" s="666">
        <f>(100%-VLOOKUP(C37,'chuyên cần'!$C$7:$AP$52,40,FALSE))*$X$4</f>
        <v>300000</v>
      </c>
      <c r="Y37" s="488"/>
      <c r="Z37" s="488">
        <f t="shared" si="42"/>
        <v>300000</v>
      </c>
      <c r="AA37" s="490">
        <f t="shared" si="43"/>
        <v>14987051.553914836</v>
      </c>
      <c r="AB37" s="669">
        <f>VLOOKUP(C37,'ung luong'!C101:F151,4,0)</f>
        <v>4000000</v>
      </c>
      <c r="AC37" s="490">
        <f t="shared" si="44"/>
        <v>480585</v>
      </c>
      <c r="AD37" s="669">
        <v>4577000</v>
      </c>
      <c r="AE37" s="669">
        <v>100000</v>
      </c>
      <c r="AF37" s="490">
        <f t="shared" si="45"/>
        <v>10506466.553914836</v>
      </c>
      <c r="AG37" s="669">
        <f>VLOOKUP(C37,CC!$C$5:$BV$50,72,0)*22000</f>
        <v>0</v>
      </c>
      <c r="AH37" s="669">
        <f>VLOOKUP(C37,CC!$C$5:$BW$50,73,0)*22000</f>
        <v>286000</v>
      </c>
      <c r="AI37" s="490"/>
      <c r="AJ37" s="490">
        <f t="shared" si="38"/>
        <v>10892000</v>
      </c>
      <c r="AK37" s="669">
        <f t="shared" si="39"/>
        <v>10892000</v>
      </c>
      <c r="AL37" s="978">
        <v>10616000</v>
      </c>
      <c r="AM37" s="978">
        <f t="shared" si="40"/>
        <v>276000</v>
      </c>
      <c r="AN37" s="517"/>
      <c r="AO37" s="517"/>
      <c r="AP37" s="517"/>
      <c r="AQ37" s="517"/>
      <c r="AR37" s="517"/>
      <c r="AS37" s="517"/>
      <c r="AT37" s="517"/>
      <c r="AU37" s="517"/>
      <c r="AV37" s="517"/>
      <c r="AW37" s="517"/>
      <c r="AX37" s="517"/>
      <c r="AY37" s="517"/>
      <c r="AZ37" s="517"/>
      <c r="BA37" s="517"/>
      <c r="BB37" s="517"/>
      <c r="BC37" s="517"/>
      <c r="BD37" s="517"/>
      <c r="BE37" s="517"/>
      <c r="BF37" s="517"/>
      <c r="BG37" s="517"/>
      <c r="BH37" s="517"/>
      <c r="BI37" s="517"/>
      <c r="BJ37" s="517"/>
      <c r="BK37" s="517"/>
      <c r="BL37" s="517"/>
      <c r="BM37" s="517"/>
      <c r="BN37" s="517"/>
      <c r="BO37" s="517"/>
      <c r="BP37" s="517"/>
      <c r="BQ37" s="517"/>
      <c r="BR37" s="517"/>
      <c r="BS37" s="517"/>
      <c r="BT37" s="517"/>
      <c r="BU37" s="517"/>
      <c r="BV37" s="517"/>
      <c r="BW37" s="517"/>
      <c r="BX37" s="517"/>
      <c r="BY37" s="517"/>
      <c r="BZ37" s="517"/>
      <c r="CA37" s="517"/>
      <c r="CB37" s="517"/>
      <c r="CC37" s="517"/>
      <c r="CD37" s="517"/>
      <c r="CE37" s="517"/>
      <c r="CF37" s="517"/>
      <c r="CG37" s="517"/>
      <c r="CH37" s="517"/>
      <c r="CI37" s="517"/>
      <c r="CJ37" s="517"/>
      <c r="CK37" s="517"/>
      <c r="CL37" s="517"/>
      <c r="CM37" s="517"/>
      <c r="CN37" s="517"/>
      <c r="CO37" s="517"/>
      <c r="CP37" s="517"/>
      <c r="CQ37" s="517"/>
      <c r="CR37" s="517"/>
      <c r="CS37" s="517"/>
      <c r="CT37" s="517"/>
      <c r="CU37" s="517"/>
      <c r="CV37" s="517"/>
      <c r="CW37" s="517"/>
      <c r="CX37" s="517"/>
      <c r="CY37" s="517"/>
      <c r="CZ37" s="517"/>
      <c r="DA37" s="517"/>
      <c r="DB37" s="517"/>
      <c r="DC37" s="517"/>
      <c r="DD37" s="517"/>
      <c r="DE37" s="517"/>
      <c r="DF37" s="517"/>
      <c r="DG37" s="517"/>
      <c r="DH37" s="517"/>
      <c r="DI37" s="517"/>
      <c r="DJ37" s="517"/>
      <c r="DK37" s="517"/>
      <c r="DL37" s="517"/>
      <c r="DM37" s="517"/>
      <c r="DN37" s="517"/>
      <c r="DO37" s="517"/>
      <c r="DP37" s="517"/>
      <c r="DQ37" s="517"/>
      <c r="DR37" s="517"/>
      <c r="DS37" s="517"/>
      <c r="DT37" s="517"/>
      <c r="DU37" s="517"/>
      <c r="DV37" s="517"/>
      <c r="DW37" s="517"/>
      <c r="DX37" s="517"/>
      <c r="DY37" s="517"/>
      <c r="DZ37" s="517"/>
    </row>
    <row r="38" spans="1:130 2330:2330" s="518" customFormat="1" ht="26.25" customHeight="1" x14ac:dyDescent="0.2">
      <c r="A38" s="436">
        <v>31</v>
      </c>
      <c r="B38" s="436" t="s">
        <v>150</v>
      </c>
      <c r="C38" s="436" t="s">
        <v>600</v>
      </c>
      <c r="D38" s="436" t="s">
        <v>808</v>
      </c>
      <c r="E38" s="798">
        <v>42415</v>
      </c>
      <c r="F38" s="491">
        <f t="shared" si="47"/>
        <v>44</v>
      </c>
      <c r="G38" s="492">
        <f>IF(VLOOKUP(F38,'he so'!C:D,2,0)=0,0,VLOOKUP(F38,'he so'!C:D,2,0))</f>
        <v>0.03</v>
      </c>
      <c r="H38" s="488">
        <f t="shared" si="3"/>
        <v>3745000</v>
      </c>
      <c r="I38" s="487" t="s">
        <v>661</v>
      </c>
      <c r="J38" s="487">
        <v>1</v>
      </c>
      <c r="K38" s="493">
        <v>3745000</v>
      </c>
      <c r="L38" s="488">
        <f>VLOOKUP(I38,'thang luong moi'!B:I,'BANG LUONG 1'!J38+1,0)</f>
        <v>4413750</v>
      </c>
      <c r="M38" s="489">
        <f>VLOOKUP(C38,CC!$C$5:$AJ$67,34,0)</f>
        <v>26</v>
      </c>
      <c r="N38" s="488">
        <f t="shared" si="30"/>
        <v>4413750</v>
      </c>
      <c r="O38" s="488">
        <f>VLOOKUP(C38,CC!$C$5:$AM$67,36,0)</f>
        <v>0</v>
      </c>
      <c r="P38" s="488">
        <f>VLOOKUP(C38,CC!$C$5:$BS$67,69,0)</f>
        <v>32</v>
      </c>
      <c r="Q38" s="488">
        <f>VLOOKUP(C38,CC!$C$5:$BT$67,70,0)</f>
        <v>0</v>
      </c>
      <c r="R38" s="488">
        <f>VLOOKUP(C38,CC!$C$5:$AM$67,37,0)</f>
        <v>1</v>
      </c>
      <c r="S38" s="488">
        <f>VLOOKUP(C38,CC!$C$5:$AM$67,35,0)</f>
        <v>0</v>
      </c>
      <c r="T38" s="488">
        <f t="shared" si="31"/>
        <v>5602067.307692307</v>
      </c>
      <c r="U38" s="488">
        <f>VLOOKUP(C38,'Công tổng'!$C$53:$BY$85,75,0)-N38</f>
        <v>3245224.3589743599</v>
      </c>
      <c r="V38" s="666">
        <f t="shared" si="46"/>
        <v>132412.5</v>
      </c>
      <c r="W38" s="488">
        <f t="shared" si="32"/>
        <v>132412.5</v>
      </c>
      <c r="X38" s="666">
        <f>(100%-VLOOKUP(C38,'chuyên cần'!$C$7:$AP$52,40,FALSE))*$X$4</f>
        <v>300000</v>
      </c>
      <c r="Y38" s="488"/>
      <c r="Z38" s="488">
        <f t="shared" si="42"/>
        <v>432412.5</v>
      </c>
      <c r="AA38" s="490">
        <f t="shared" si="43"/>
        <v>9279704.1666666679</v>
      </c>
      <c r="AB38" s="669">
        <f>VLOOKUP(C38,'ung luong'!C102:F152,4,0)</f>
        <v>0</v>
      </c>
      <c r="AC38" s="490">
        <f t="shared" si="44"/>
        <v>480585</v>
      </c>
      <c r="AD38" s="669">
        <v>4577000</v>
      </c>
      <c r="AE38" s="669">
        <v>100000</v>
      </c>
      <c r="AF38" s="490">
        <f t="shared" si="45"/>
        <v>8799119.1666666679</v>
      </c>
      <c r="AG38" s="669">
        <f>VLOOKUP(C38,CC!$C$5:$BV$50,72,0)*22000</f>
        <v>0</v>
      </c>
      <c r="AH38" s="669">
        <f>VLOOKUP(C38,CC!$C$5:$BW$50,73,0)*22000</f>
        <v>66000</v>
      </c>
      <c r="AI38" s="490"/>
      <c r="AJ38" s="490">
        <f>ROUND(AF38,-3)+AI38+AG38+AH38+AE38</f>
        <v>8965000</v>
      </c>
      <c r="AK38" s="669">
        <f t="shared" si="39"/>
        <v>8965000</v>
      </c>
      <c r="AL38" s="978">
        <v>8965000</v>
      </c>
      <c r="AM38" s="978">
        <f t="shared" si="40"/>
        <v>0</v>
      </c>
      <c r="AN38" s="517"/>
      <c r="AO38" s="517"/>
      <c r="AP38" s="517"/>
      <c r="AQ38" s="517"/>
      <c r="AR38" s="517"/>
      <c r="AS38" s="517"/>
      <c r="AT38" s="517"/>
      <c r="AU38" s="517"/>
      <c r="AV38" s="517"/>
      <c r="AW38" s="517"/>
      <c r="AX38" s="517"/>
      <c r="AY38" s="517"/>
      <c r="AZ38" s="517"/>
      <c r="BA38" s="517"/>
      <c r="BB38" s="517"/>
      <c r="BC38" s="517"/>
      <c r="BD38" s="517"/>
      <c r="BE38" s="517"/>
      <c r="BF38" s="517"/>
      <c r="BG38" s="517"/>
      <c r="BH38" s="517"/>
      <c r="BI38" s="517"/>
      <c r="BJ38" s="517"/>
      <c r="BK38" s="517"/>
      <c r="BL38" s="517"/>
      <c r="BM38" s="517"/>
      <c r="BN38" s="517"/>
      <c r="BO38" s="517"/>
      <c r="BP38" s="517"/>
      <c r="BQ38" s="517"/>
      <c r="BR38" s="517"/>
      <c r="BS38" s="517"/>
      <c r="BT38" s="517"/>
      <c r="BU38" s="517"/>
      <c r="BV38" s="517"/>
      <c r="BW38" s="517"/>
      <c r="BX38" s="517"/>
      <c r="BY38" s="517"/>
      <c r="BZ38" s="517"/>
      <c r="CA38" s="517"/>
      <c r="CB38" s="517"/>
      <c r="CC38" s="517"/>
      <c r="CD38" s="517"/>
      <c r="CE38" s="517"/>
      <c r="CF38" s="517"/>
      <c r="CG38" s="517"/>
      <c r="CH38" s="517"/>
      <c r="CI38" s="517"/>
      <c r="CJ38" s="517"/>
      <c r="CK38" s="517"/>
      <c r="CL38" s="517"/>
      <c r="CM38" s="517"/>
      <c r="CN38" s="517"/>
      <c r="CO38" s="517"/>
      <c r="CP38" s="517"/>
      <c r="CQ38" s="517"/>
      <c r="CR38" s="517"/>
      <c r="CS38" s="517"/>
      <c r="CT38" s="517"/>
      <c r="CU38" s="517"/>
      <c r="CV38" s="517"/>
      <c r="CW38" s="517"/>
      <c r="CX38" s="517"/>
      <c r="CY38" s="517"/>
      <c r="CZ38" s="517"/>
      <c r="DA38" s="517"/>
      <c r="DB38" s="517"/>
      <c r="DC38" s="517"/>
      <c r="DD38" s="517"/>
      <c r="DE38" s="517"/>
      <c r="DF38" s="517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517"/>
      <c r="DT38" s="517"/>
      <c r="DU38" s="517"/>
      <c r="DV38" s="517"/>
      <c r="DW38" s="517"/>
      <c r="DX38" s="517"/>
      <c r="DY38" s="517"/>
      <c r="DZ38" s="517"/>
    </row>
    <row r="39" spans="1:130 2330:2330" s="405" customFormat="1" ht="27.75" customHeight="1" x14ac:dyDescent="0.2">
      <c r="A39" s="425" t="s">
        <v>14</v>
      </c>
      <c r="B39" s="425"/>
      <c r="C39" s="425" t="s">
        <v>818</v>
      </c>
      <c r="D39" s="425"/>
      <c r="E39" s="425"/>
      <c r="F39" s="425"/>
      <c r="G39" s="481"/>
      <c r="H39" s="482"/>
      <c r="I39" s="483"/>
      <c r="J39" s="483"/>
      <c r="K39" s="483"/>
      <c r="L39" s="483"/>
      <c r="M39" s="484"/>
      <c r="N39" s="485"/>
      <c r="O39" s="485"/>
      <c r="P39" s="485"/>
      <c r="Q39" s="485"/>
      <c r="R39" s="485"/>
      <c r="S39" s="485"/>
      <c r="T39" s="485"/>
      <c r="U39" s="485"/>
      <c r="V39" s="485"/>
      <c r="W39" s="485"/>
      <c r="X39" s="485"/>
      <c r="Y39" s="485"/>
      <c r="Z39" s="485"/>
      <c r="AA39" s="485">
        <f>SUM(AA40:AA47)</f>
        <v>66628231.096693479</v>
      </c>
      <c r="AB39" s="485">
        <f t="shared" ref="AB39:AJ39" si="48">SUM(AB40:AB47)</f>
        <v>27000000</v>
      </c>
      <c r="AC39" s="485">
        <f t="shared" si="48"/>
        <v>1441755</v>
      </c>
      <c r="AD39" s="485">
        <f t="shared" si="48"/>
        <v>13731000</v>
      </c>
      <c r="AE39" s="485">
        <f t="shared" si="48"/>
        <v>800000</v>
      </c>
      <c r="AF39" s="485">
        <f t="shared" si="48"/>
        <v>38186476.096693479</v>
      </c>
      <c r="AG39" s="485">
        <f t="shared" si="48"/>
        <v>0</v>
      </c>
      <c r="AH39" s="485">
        <f t="shared" si="48"/>
        <v>616000</v>
      </c>
      <c r="AI39" s="485">
        <f t="shared" si="48"/>
        <v>0</v>
      </c>
      <c r="AJ39" s="485">
        <f t="shared" si="48"/>
        <v>39603000</v>
      </c>
      <c r="AK39" s="485">
        <f>SUM(AK40:AK45)</f>
        <v>33495000</v>
      </c>
      <c r="AL39" s="991"/>
      <c r="AM39" s="978"/>
      <c r="CKP39" s="518"/>
    </row>
    <row r="40" spans="1:130 2330:2330" s="518" customFormat="1" ht="21" customHeight="1" x14ac:dyDescent="0.2">
      <c r="A40" s="436">
        <v>32</v>
      </c>
      <c r="B40" s="436" t="s">
        <v>151</v>
      </c>
      <c r="C40" s="436" t="s">
        <v>775</v>
      </c>
      <c r="D40" s="436" t="s">
        <v>776</v>
      </c>
      <c r="E40" s="486">
        <v>43177</v>
      </c>
      <c r="F40" s="491">
        <f>IF(IF(E40="",0,ROUND(($P$3-E40)/30,0))&lt;0,0,IF(E40="",0,ROUND(($P$3-E40)/30,0)))</f>
        <v>19</v>
      </c>
      <c r="G40" s="492">
        <f>IF(VLOOKUP(F40,'he so'!C:D,2,0)=0,0,VLOOKUP(F40,'he so'!C:D,2,0))</f>
        <v>0</v>
      </c>
      <c r="H40" s="488">
        <f t="shared" si="3"/>
        <v>3745000</v>
      </c>
      <c r="I40" s="487" t="s">
        <v>667</v>
      </c>
      <c r="J40" s="487">
        <v>1</v>
      </c>
      <c r="K40" s="493">
        <v>3745000</v>
      </c>
      <c r="L40" s="488">
        <f>VLOOKUP(I40,'thang luong moi'!B:I,'BANG LUONG 1'!J40+1,0)</f>
        <v>4213125</v>
      </c>
      <c r="M40" s="489">
        <f>VLOOKUP(C40,CC!$C$5:$AJ$67,34,0)</f>
        <v>24</v>
      </c>
      <c r="N40" s="488">
        <f>L40/$N$2*M40</f>
        <v>3889038.461538461</v>
      </c>
      <c r="O40" s="488">
        <f>VLOOKUP(C40,CC!$C$5:$AM$67,36,0)</f>
        <v>0.5</v>
      </c>
      <c r="P40" s="488">
        <f>VLOOKUP(C40,CC!$C$5:$BS$67,69,0)</f>
        <v>123.5</v>
      </c>
      <c r="Q40" s="488">
        <f>VLOOKUP(C40,CC!$C$5:$BT$67,70,0)</f>
        <v>12</v>
      </c>
      <c r="R40" s="488">
        <f>VLOOKUP(C40,CC!$C$5:$AM$67,37,0)</f>
        <v>1</v>
      </c>
      <c r="S40" s="488">
        <f>VLOOKUP(C40,CC!$C$5:$AM$67,35,0)</f>
        <v>0</v>
      </c>
      <c r="T40" s="488">
        <f t="shared" ref="T40:T45" si="49">((L40/$N$2)*M40)+(O40*(L40/$N$2))+((P40/8)*1.5*(L40/$N$2))+((Q40/8)*2*L40/$N$2)+(S40*3*(L40/$N$2)+(L40/$N$2)*R40)</f>
        <v>8370547.6262019221</v>
      </c>
      <c r="U40" s="488">
        <f>VLOOKUP(C40,'Công tổng'!$C$53:$BY$85,75,0)-N40</f>
        <v>5309045.8202511771</v>
      </c>
      <c r="V40" s="666">
        <f>+L40*G40</f>
        <v>0</v>
      </c>
      <c r="W40" s="488">
        <f>(L40)*G40</f>
        <v>0</v>
      </c>
      <c r="X40" s="666">
        <f>(100%-VLOOKUP(C40,'chuyên cần'!$C$7:$AP$52,40,FALSE))*$X$4</f>
        <v>300000</v>
      </c>
      <c r="Y40" s="488"/>
      <c r="Z40" s="488">
        <f>SUM(W40:Y40)</f>
        <v>300000</v>
      </c>
      <c r="AA40" s="490">
        <f>Z40+U40+T40</f>
        <v>13979593.446453098</v>
      </c>
      <c r="AB40" s="669">
        <f>VLOOKUP(C40,'ung luong'!C107:F152,4,0)</f>
        <v>4000000</v>
      </c>
      <c r="AC40" s="490">
        <f>AD40*$AC$3</f>
        <v>480585</v>
      </c>
      <c r="AD40" s="490">
        <v>4577000</v>
      </c>
      <c r="AE40" s="669">
        <v>100000</v>
      </c>
      <c r="AF40" s="490">
        <f>AA40-AB40-AC40</f>
        <v>9499008.4464530982</v>
      </c>
      <c r="AG40" s="669">
        <f>VLOOKUP(C40,CC!$C$5:$BV$50,72,0)*22000</f>
        <v>0</v>
      </c>
      <c r="AH40" s="669">
        <f>VLOOKUP(C40,CC!$C$5:$BW$50,73,0)*22000</f>
        <v>264000</v>
      </c>
      <c r="AI40" s="490"/>
      <c r="AJ40" s="490">
        <f>ROUND(AF40,-3)+AI40+AG40+AH40+AE40</f>
        <v>9863000</v>
      </c>
      <c r="AK40" s="669">
        <f t="shared" si="39"/>
        <v>9863000</v>
      </c>
      <c r="AL40" s="978">
        <v>4208000</v>
      </c>
      <c r="AM40" s="978">
        <f t="shared" si="40"/>
        <v>5655000</v>
      </c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17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17"/>
      <c r="BV40" s="517"/>
      <c r="BW40" s="517"/>
      <c r="BX40" s="517"/>
      <c r="BY40" s="517"/>
      <c r="BZ40" s="517"/>
      <c r="CA40" s="517"/>
      <c r="CB40" s="517"/>
      <c r="CC40" s="517"/>
      <c r="CD40" s="517"/>
      <c r="CE40" s="517"/>
      <c r="CF40" s="517"/>
      <c r="CG40" s="517"/>
      <c r="CH40" s="517"/>
      <c r="CI40" s="517"/>
      <c r="CJ40" s="517"/>
      <c r="CK40" s="517"/>
      <c r="CL40" s="517"/>
      <c r="CM40" s="517"/>
      <c r="CN40" s="517"/>
      <c r="CO40" s="517"/>
      <c r="CP40" s="517"/>
      <c r="CQ40" s="517"/>
      <c r="CR40" s="517"/>
      <c r="CS40" s="517"/>
      <c r="CT40" s="517"/>
      <c r="CU40" s="517"/>
      <c r="CV40" s="517"/>
      <c r="CW40" s="517"/>
      <c r="CX40" s="517"/>
      <c r="CY40" s="517"/>
      <c r="CZ40" s="517"/>
      <c r="DA40" s="517"/>
      <c r="DB40" s="517"/>
      <c r="DC40" s="517"/>
      <c r="DD40" s="517"/>
      <c r="DE40" s="517"/>
      <c r="DF40" s="517"/>
      <c r="DG40" s="517"/>
      <c r="DH40" s="517"/>
      <c r="DI40" s="517"/>
      <c r="DJ40" s="517"/>
      <c r="DK40" s="517"/>
      <c r="DL40" s="517"/>
      <c r="DM40" s="517"/>
      <c r="DN40" s="517"/>
      <c r="DO40" s="517"/>
      <c r="DP40" s="517"/>
      <c r="DQ40" s="517"/>
      <c r="DR40" s="517"/>
      <c r="DS40" s="517"/>
      <c r="DT40" s="517"/>
      <c r="DU40" s="517"/>
      <c r="DV40" s="517"/>
      <c r="DW40" s="517"/>
      <c r="DX40" s="517"/>
      <c r="DY40" s="517"/>
      <c r="DZ40" s="517"/>
    </row>
    <row r="41" spans="1:130 2330:2330" s="574" customFormat="1" ht="26.25" customHeight="1" x14ac:dyDescent="0.2">
      <c r="A41" s="436">
        <v>33</v>
      </c>
      <c r="B41" s="436" t="s">
        <v>152</v>
      </c>
      <c r="C41" s="436" t="s">
        <v>86</v>
      </c>
      <c r="D41" s="436" t="s">
        <v>207</v>
      </c>
      <c r="E41" s="486">
        <v>41786</v>
      </c>
      <c r="F41" s="491">
        <f>IF(IF(E41="",0,ROUND(($P$3-E41)/30,0))&lt;0,0,IF(E41="",0,ROUND(($P$3-E41)/30,0)))</f>
        <v>65</v>
      </c>
      <c r="G41" s="492">
        <f>IF(VLOOKUP(F41,'he so'!C:D,2,0)=0,0,VLOOKUP(F41,'he so'!C:D,2,0))</f>
        <v>0.05</v>
      </c>
      <c r="H41" s="488">
        <f t="shared" si="3"/>
        <v>3745000</v>
      </c>
      <c r="I41" s="487" t="s">
        <v>667</v>
      </c>
      <c r="J41" s="487">
        <v>1</v>
      </c>
      <c r="K41" s="493">
        <v>3745000</v>
      </c>
      <c r="L41" s="488">
        <f>VLOOKUP(I41,'thang luong moi'!B:I,'BANG LUONG 1'!J41+1,0)</f>
        <v>4213125</v>
      </c>
      <c r="M41" s="489">
        <f>VLOOKUP(C41,CC!$C$5:$AJ$67,34,0)</f>
        <v>24</v>
      </c>
      <c r="N41" s="488">
        <f>L41/$N$2*M41</f>
        <v>3889038.461538461</v>
      </c>
      <c r="O41" s="488">
        <f>VLOOKUP(C41,CC!$C$5:$AM$67,36,0)</f>
        <v>0.5</v>
      </c>
      <c r="P41" s="488">
        <f>VLOOKUP(C41,CC!$C$5:$BS$67,69,0)</f>
        <v>161.5</v>
      </c>
      <c r="Q41" s="488">
        <f>VLOOKUP(C41,CC!$C$5:$BT$67,70,0)</f>
        <v>24</v>
      </c>
      <c r="R41" s="488">
        <f>VLOOKUP(C41,CC!$C$5:$AM$67,37,0)</f>
        <v>0</v>
      </c>
      <c r="S41" s="488">
        <f>VLOOKUP(C41,CC!$C$5:$AM$67,35,0)</f>
        <v>1</v>
      </c>
      <c r="T41" s="488">
        <f t="shared" si="49"/>
        <v>10335322.265625</v>
      </c>
      <c r="U41" s="488">
        <f>VLOOKUP(C41,'Công tổng'!$C$53:$BY$85,75,0)-N41</f>
        <v>4451105.769230769</v>
      </c>
      <c r="V41" s="666">
        <f>+L41*G41</f>
        <v>210656.25</v>
      </c>
      <c r="W41" s="488">
        <f>(L41)*G41</f>
        <v>210656.25</v>
      </c>
      <c r="X41" s="666">
        <f>(100%-VLOOKUP(C41,'chuyên cần'!$C$7:$AP$52,40,FALSE))*$X$4</f>
        <v>300000</v>
      </c>
      <c r="Y41" s="488"/>
      <c r="Z41" s="488">
        <f>SUM(W41:Y41)</f>
        <v>510656.25</v>
      </c>
      <c r="AA41" s="490">
        <f>Z41+U41+T41</f>
        <v>15297084.284855768</v>
      </c>
      <c r="AB41" s="669">
        <f>VLOOKUP(C41,'ung luong'!C108:F153,4,0)</f>
        <v>4000000</v>
      </c>
      <c r="AC41" s="490">
        <f>AD41*$AC$3</f>
        <v>480585</v>
      </c>
      <c r="AD41" s="490">
        <v>4577000</v>
      </c>
      <c r="AE41" s="669">
        <v>100000</v>
      </c>
      <c r="AF41" s="490">
        <f>AA41-AB41-AC41</f>
        <v>10816499.284855768</v>
      </c>
      <c r="AG41" s="669">
        <f>VLOOKUP(C41,CC!$C$5:$BV$50,72,0)*22000</f>
        <v>0</v>
      </c>
      <c r="AH41" s="669">
        <f>VLOOKUP(C41,CC!$C$5:$BW$50,73,0)*22000</f>
        <v>352000</v>
      </c>
      <c r="AI41" s="490"/>
      <c r="AJ41" s="490">
        <f t="shared" ref="AJ41:AJ44" si="50">ROUND(AF41,-3)+AI41+AG41+AH41+AE41</f>
        <v>11268000</v>
      </c>
      <c r="AK41" s="669">
        <f t="shared" si="39"/>
        <v>11268000</v>
      </c>
      <c r="AL41" s="989">
        <v>11268000</v>
      </c>
      <c r="AM41" s="978">
        <f t="shared" si="40"/>
        <v>0</v>
      </c>
      <c r="AN41" s="573"/>
      <c r="AO41" s="573"/>
      <c r="AP41" s="573"/>
      <c r="AQ41" s="573"/>
      <c r="AR41" s="573"/>
      <c r="AS41" s="573"/>
      <c r="AT41" s="573"/>
      <c r="AU41" s="573"/>
      <c r="AV41" s="573"/>
      <c r="AW41" s="573"/>
      <c r="AX41" s="573"/>
      <c r="AY41" s="573"/>
      <c r="AZ41" s="573"/>
      <c r="BA41" s="573"/>
      <c r="BB41" s="573"/>
      <c r="BC41" s="573"/>
      <c r="BD41" s="573"/>
      <c r="BE41" s="573"/>
      <c r="BF41" s="573"/>
      <c r="BG41" s="573"/>
      <c r="BH41" s="573"/>
      <c r="BI41" s="573"/>
      <c r="BJ41" s="573"/>
      <c r="BK41" s="573"/>
      <c r="BL41" s="573"/>
      <c r="BM41" s="573"/>
      <c r="BN41" s="573"/>
      <c r="BO41" s="573"/>
      <c r="BP41" s="573"/>
      <c r="BQ41" s="573"/>
      <c r="BR41" s="573"/>
      <c r="BS41" s="573"/>
      <c r="BT41" s="573"/>
      <c r="BU41" s="573"/>
      <c r="BV41" s="573"/>
      <c r="BW41" s="573"/>
      <c r="BX41" s="573"/>
      <c r="BY41" s="573"/>
      <c r="BZ41" s="573"/>
      <c r="CA41" s="573"/>
      <c r="CB41" s="573"/>
      <c r="CC41" s="573"/>
      <c r="CD41" s="573"/>
      <c r="CE41" s="573"/>
      <c r="CF41" s="573"/>
      <c r="CG41" s="573"/>
      <c r="CH41" s="573"/>
      <c r="CI41" s="573"/>
      <c r="CJ41" s="573"/>
      <c r="CK41" s="573"/>
      <c r="CL41" s="573"/>
      <c r="CM41" s="573"/>
      <c r="CN41" s="573"/>
      <c r="CO41" s="573"/>
      <c r="CP41" s="573"/>
      <c r="CQ41" s="573"/>
      <c r="CR41" s="573"/>
      <c r="CS41" s="573"/>
      <c r="CT41" s="573"/>
      <c r="CU41" s="573"/>
      <c r="CV41" s="573"/>
      <c r="CW41" s="573"/>
      <c r="CX41" s="573"/>
      <c r="CY41" s="573"/>
      <c r="CZ41" s="573"/>
      <c r="DA41" s="573"/>
      <c r="DB41" s="573"/>
      <c r="DC41" s="573"/>
      <c r="DD41" s="573"/>
      <c r="DE41" s="573"/>
      <c r="DF41" s="573"/>
      <c r="DG41" s="573"/>
      <c r="DH41" s="573"/>
      <c r="DI41" s="573"/>
      <c r="DJ41" s="573"/>
      <c r="DK41" s="573"/>
      <c r="DL41" s="573"/>
      <c r="DM41" s="573"/>
      <c r="DN41" s="573"/>
      <c r="DO41" s="573"/>
      <c r="DP41" s="573"/>
      <c r="DQ41" s="573"/>
      <c r="DR41" s="573"/>
      <c r="DS41" s="573"/>
      <c r="DT41" s="573"/>
      <c r="DU41" s="573"/>
      <c r="DV41" s="573"/>
      <c r="DW41" s="573"/>
      <c r="DX41" s="573"/>
      <c r="DY41" s="573"/>
      <c r="DZ41" s="573"/>
      <c r="CKP41" s="518"/>
    </row>
    <row r="42" spans="1:130 2330:2330" s="518" customFormat="1" ht="21" customHeight="1" x14ac:dyDescent="0.2">
      <c r="A42" s="436">
        <v>34</v>
      </c>
      <c r="B42" s="436" t="s">
        <v>154</v>
      </c>
      <c r="C42" s="436" t="s">
        <v>78</v>
      </c>
      <c r="D42" s="436" t="s">
        <v>207</v>
      </c>
      <c r="E42" s="486">
        <v>40869</v>
      </c>
      <c r="F42" s="491">
        <f>IF(IF(E42="",0,ROUND(($P$3-E42)/30,0))&lt;0,0,IF(E42="",0,ROUND(($P$3-E42)/30,0)))</f>
        <v>95</v>
      </c>
      <c r="G42" s="492">
        <f>IF(VLOOKUP(F42,'he so'!C:D,2,0)=0,0,VLOOKUP(F42,'he so'!C:D,2,0))</f>
        <v>7.0000000000000007E-2</v>
      </c>
      <c r="H42" s="488">
        <f t="shared" si="3"/>
        <v>3745000</v>
      </c>
      <c r="I42" s="487" t="s">
        <v>667</v>
      </c>
      <c r="J42" s="487">
        <v>1</v>
      </c>
      <c r="K42" s="493">
        <v>3745000</v>
      </c>
      <c r="L42" s="488">
        <f>VLOOKUP(I42,'thang luong moi'!B:I,'BANG LUONG 1'!J42+1,0)</f>
        <v>4213125</v>
      </c>
      <c r="M42" s="489">
        <f>VLOOKUP(C42,CC!$C$5:$AJ$67,34,0)</f>
        <v>26</v>
      </c>
      <c r="N42" s="488">
        <f>L42/$N$2*M42</f>
        <v>4213125</v>
      </c>
      <c r="O42" s="488">
        <f>VLOOKUP(C42,CC!$C$5:$AM$67,36,0)</f>
        <v>0</v>
      </c>
      <c r="P42" s="488">
        <f>VLOOKUP(C42,CC!$C$5:$BS$67,69,0)</f>
        <v>0</v>
      </c>
      <c r="Q42" s="488">
        <f>VLOOKUP(C42,CC!$C$5:$BT$67,70,0)</f>
        <v>16</v>
      </c>
      <c r="R42" s="488">
        <f>VLOOKUP(C42,CC!$C$5:$AM$67,37,0)</f>
        <v>1</v>
      </c>
      <c r="S42" s="488">
        <f>VLOOKUP(C42,CC!$C$5:$AM$67,35,0)</f>
        <v>0</v>
      </c>
      <c r="T42" s="488">
        <f t="shared" si="49"/>
        <v>5023341.346153846</v>
      </c>
      <c r="U42" s="488">
        <f>VLOOKUP(C42,'Công tổng'!$C$53:$BY$94,75,0)-N42</f>
        <v>633028.84615384508</v>
      </c>
      <c r="V42" s="666">
        <f>+L42*G42</f>
        <v>294918.75</v>
      </c>
      <c r="W42" s="488">
        <f>(L42)*G42</f>
        <v>294918.75</v>
      </c>
      <c r="X42" s="666">
        <f>(100%-VLOOKUP(C42,'chuyên cần'!$C$7:$AP$52,40,FALSE))*$X$4</f>
        <v>300000</v>
      </c>
      <c r="Y42" s="488"/>
      <c r="Z42" s="488">
        <f>SUM(W42:Y42)</f>
        <v>594918.75</v>
      </c>
      <c r="AA42" s="490">
        <f>Z42+U42+T42</f>
        <v>6251288.9423076911</v>
      </c>
      <c r="AB42" s="669">
        <f>VLOOKUP(C42,'ung luong'!C109:F155,4,0)</f>
        <v>4000000</v>
      </c>
      <c r="AC42" s="490">
        <f>AD42*$AC$3</f>
        <v>480585</v>
      </c>
      <c r="AD42" s="490">
        <v>4577000</v>
      </c>
      <c r="AE42" s="669">
        <v>100000</v>
      </c>
      <c r="AF42" s="490">
        <f>AA42-AB42-AC42</f>
        <v>1770703.9423076911</v>
      </c>
      <c r="AG42" s="669">
        <f>VLOOKUP(C42,CC!$C$5:$BV$50,72,0)*22000</f>
        <v>0</v>
      </c>
      <c r="AH42" s="669">
        <f>VLOOKUP(C42,CC!$C$5:$BW$50,73,0)*22000</f>
        <v>0</v>
      </c>
      <c r="AI42" s="490"/>
      <c r="AJ42" s="490">
        <f t="shared" si="50"/>
        <v>1871000</v>
      </c>
      <c r="AK42" s="669">
        <f t="shared" si="39"/>
        <v>1871000</v>
      </c>
      <c r="AL42" s="978">
        <v>1871000</v>
      </c>
      <c r="AM42" s="978">
        <f t="shared" si="40"/>
        <v>0</v>
      </c>
      <c r="AN42" s="517"/>
      <c r="AO42" s="517"/>
      <c r="AP42" s="517"/>
      <c r="AQ42" s="517"/>
      <c r="AR42" s="517"/>
      <c r="AS42" s="517"/>
      <c r="AT42" s="517"/>
      <c r="AU42" s="517"/>
      <c r="AV42" s="517"/>
      <c r="AW42" s="517"/>
      <c r="AX42" s="517"/>
      <c r="AY42" s="517"/>
      <c r="AZ42" s="517"/>
      <c r="BA42" s="517"/>
      <c r="BB42" s="517"/>
      <c r="BC42" s="517"/>
      <c r="BD42" s="517"/>
      <c r="BE42" s="517"/>
      <c r="BF42" s="517"/>
      <c r="BG42" s="517"/>
      <c r="BH42" s="517"/>
      <c r="BI42" s="517"/>
      <c r="BJ42" s="517"/>
      <c r="BK42" s="517"/>
      <c r="BL42" s="517"/>
      <c r="BM42" s="517"/>
      <c r="BN42" s="517"/>
      <c r="BO42" s="517"/>
      <c r="BP42" s="517"/>
      <c r="BQ42" s="517"/>
      <c r="BR42" s="517"/>
      <c r="BS42" s="517"/>
      <c r="BT42" s="517"/>
      <c r="BU42" s="517"/>
      <c r="BV42" s="517"/>
      <c r="BW42" s="517"/>
      <c r="BX42" s="517"/>
      <c r="BY42" s="517"/>
      <c r="BZ42" s="517"/>
      <c r="CA42" s="517"/>
      <c r="CB42" s="517"/>
      <c r="CC42" s="517"/>
      <c r="CD42" s="517"/>
      <c r="CE42" s="517"/>
      <c r="CF42" s="517"/>
      <c r="CG42" s="517"/>
      <c r="CH42" s="517"/>
      <c r="CI42" s="517"/>
      <c r="CJ42" s="517"/>
      <c r="CK42" s="517"/>
      <c r="CL42" s="517"/>
      <c r="CM42" s="517"/>
      <c r="CN42" s="517"/>
      <c r="CO42" s="517"/>
      <c r="CP42" s="517"/>
      <c r="CQ42" s="517"/>
      <c r="CR42" s="517"/>
      <c r="CS42" s="517"/>
      <c r="CT42" s="517"/>
      <c r="CU42" s="517"/>
      <c r="CV42" s="517"/>
      <c r="CW42" s="517"/>
      <c r="CX42" s="517"/>
      <c r="CY42" s="517"/>
      <c r="CZ42" s="517"/>
      <c r="DA42" s="517"/>
      <c r="DB42" s="517"/>
      <c r="DC42" s="517"/>
      <c r="DD42" s="517"/>
      <c r="DE42" s="517"/>
      <c r="DF42" s="517"/>
      <c r="DG42" s="517"/>
      <c r="DH42" s="517"/>
      <c r="DI42" s="517"/>
      <c r="DJ42" s="517"/>
      <c r="DK42" s="517"/>
      <c r="DL42" s="517"/>
      <c r="DM42" s="517"/>
      <c r="DN42" s="517"/>
      <c r="DO42" s="517"/>
      <c r="DP42" s="517"/>
      <c r="DQ42" s="517"/>
      <c r="DR42" s="517"/>
      <c r="DS42" s="517"/>
      <c r="DT42" s="517"/>
      <c r="DU42" s="517"/>
      <c r="DV42" s="517"/>
      <c r="DW42" s="517"/>
      <c r="DX42" s="517"/>
      <c r="DY42" s="517"/>
      <c r="DZ42" s="517"/>
    </row>
    <row r="43" spans="1:130 2330:2330" s="574" customFormat="1" ht="21" customHeight="1" x14ac:dyDescent="0.2">
      <c r="A43" s="436">
        <v>35</v>
      </c>
      <c r="B43" s="436" t="s">
        <v>156</v>
      </c>
      <c r="C43" s="436" t="s">
        <v>820</v>
      </c>
      <c r="D43" s="436" t="s">
        <v>207</v>
      </c>
      <c r="E43" s="486">
        <v>43453</v>
      </c>
      <c r="F43" s="491">
        <f t="shared" ref="F43:F46" si="51">IF(IF(E43="",0,ROUND(($P$3-E43)/30,0))&lt;0,0,IF(E43="",0,ROUND(($P$3-E43)/30,0)))</f>
        <v>9</v>
      </c>
      <c r="G43" s="492">
        <f>IF(VLOOKUP(F43,'he so'!C:D,2,0)=0,0,VLOOKUP(F43,'he so'!C:D,2,0))</f>
        <v>0</v>
      </c>
      <c r="H43" s="488">
        <f t="shared" si="3"/>
        <v>3745000</v>
      </c>
      <c r="I43" s="487" t="s">
        <v>667</v>
      </c>
      <c r="J43" s="487">
        <v>1</v>
      </c>
      <c r="K43" s="493">
        <v>3745000</v>
      </c>
      <c r="L43" s="488">
        <f>VLOOKUP(I43,'thang luong moi'!B:I,'BANG LUONG 1'!J43+1,0)</f>
        <v>4213125</v>
      </c>
      <c r="M43" s="489">
        <f>VLOOKUP(C43,CC!$C$5:$AJ$67,34,0)</f>
        <v>25</v>
      </c>
      <c r="N43" s="488">
        <f t="shared" ref="N43:N44" si="52">L43/$N$2*M43</f>
        <v>4051081.7307692305</v>
      </c>
      <c r="O43" s="488">
        <f>VLOOKUP(C43,CC!$C$5:$AM$67,36,0)</f>
        <v>0</v>
      </c>
      <c r="P43" s="488">
        <f>VLOOKUP(C43,CC!$C$5:$BS$67,69,0)</f>
        <v>0</v>
      </c>
      <c r="Q43" s="488">
        <f>VLOOKUP(C43,CC!$C$5:$BT$67,70,0)</f>
        <v>24</v>
      </c>
      <c r="R43" s="488">
        <f>VLOOKUP(C43,CC!$C$5:$AM$67,37,0)</f>
        <v>1</v>
      </c>
      <c r="S43" s="488">
        <f>VLOOKUP(C43,CC!$C$5:$AM$67,35,0)</f>
        <v>0</v>
      </c>
      <c r="T43" s="488">
        <f t="shared" si="49"/>
        <v>5185384.615384615</v>
      </c>
      <c r="U43" s="488">
        <f>VLOOKUP(C43,'Công tổng'!$C$53:$BY$94,75,0)-N43</f>
        <v>795072.11538461456</v>
      </c>
      <c r="V43" s="666">
        <f t="shared" ref="V43:V44" si="53">+L43*G43</f>
        <v>0</v>
      </c>
      <c r="W43" s="488">
        <f t="shared" ref="W43:W44" si="54">(L43)*G43</f>
        <v>0</v>
      </c>
      <c r="X43" s="666">
        <f>(100%-VLOOKUP(C43,'chuyên cần'!$C$7:$AP$52,40,FALSE))*$X$4</f>
        <v>300000</v>
      </c>
      <c r="Y43" s="488"/>
      <c r="Z43" s="488">
        <f t="shared" ref="Z43:Z44" si="55">SUM(W43:Y43)</f>
        <v>300000</v>
      </c>
      <c r="AA43" s="490">
        <f t="shared" ref="AA43:AA44" si="56">Z43+U43+T43</f>
        <v>6280456.7307692301</v>
      </c>
      <c r="AB43" s="669">
        <f>VLOOKUP(C43,'ung luong'!C110:F125,4,0)</f>
        <v>4000000</v>
      </c>
      <c r="AC43" s="490">
        <f t="shared" ref="AC43:AC44" si="57">AD43*$AC$3</f>
        <v>0</v>
      </c>
      <c r="AD43" s="490"/>
      <c r="AE43" s="669">
        <v>100000</v>
      </c>
      <c r="AF43" s="490">
        <f t="shared" ref="AF43:AF44" si="58">AA43-AB43-AC43</f>
        <v>2280456.7307692301</v>
      </c>
      <c r="AG43" s="669">
        <f>VLOOKUP(C43,CC!$C$5:$BV$50,72,0)*22000</f>
        <v>0</v>
      </c>
      <c r="AH43" s="669">
        <f>VLOOKUP(C43,CC!$C$5:$BW$50,73,0)*22000</f>
        <v>0</v>
      </c>
      <c r="AI43" s="490"/>
      <c r="AJ43" s="490">
        <f t="shared" si="50"/>
        <v>2380000</v>
      </c>
      <c r="AK43" s="669">
        <f t="shared" si="39"/>
        <v>2380000</v>
      </c>
      <c r="AL43" s="989">
        <v>2380000</v>
      </c>
      <c r="AM43" s="978">
        <f t="shared" si="40"/>
        <v>0</v>
      </c>
      <c r="AN43" s="573"/>
      <c r="AO43" s="573"/>
      <c r="AP43" s="573"/>
      <c r="AQ43" s="573"/>
      <c r="AR43" s="573"/>
      <c r="AS43" s="573"/>
      <c r="AT43" s="573"/>
      <c r="AU43" s="573"/>
      <c r="AV43" s="573"/>
      <c r="AW43" s="573"/>
      <c r="AX43" s="573"/>
      <c r="AY43" s="573"/>
      <c r="AZ43" s="573"/>
      <c r="BA43" s="573"/>
      <c r="BB43" s="573"/>
      <c r="BC43" s="573"/>
      <c r="BD43" s="573"/>
      <c r="BE43" s="573"/>
      <c r="BF43" s="573"/>
      <c r="BG43" s="573"/>
      <c r="BH43" s="573"/>
      <c r="BI43" s="573"/>
      <c r="BJ43" s="573"/>
      <c r="BK43" s="573"/>
      <c r="BL43" s="573"/>
      <c r="BM43" s="573"/>
      <c r="BN43" s="573"/>
      <c r="BO43" s="573"/>
      <c r="BP43" s="573"/>
      <c r="BQ43" s="573"/>
      <c r="BR43" s="573"/>
      <c r="BS43" s="573"/>
      <c r="BT43" s="573"/>
      <c r="BU43" s="573"/>
      <c r="BV43" s="573"/>
      <c r="BW43" s="573"/>
      <c r="BX43" s="573"/>
      <c r="BY43" s="573"/>
      <c r="BZ43" s="573"/>
      <c r="CA43" s="573"/>
      <c r="CB43" s="573"/>
      <c r="CC43" s="573"/>
      <c r="CD43" s="573"/>
      <c r="CE43" s="573"/>
      <c r="CF43" s="573"/>
      <c r="CG43" s="573"/>
      <c r="CH43" s="573"/>
      <c r="CI43" s="573"/>
      <c r="CJ43" s="573"/>
      <c r="CK43" s="573"/>
      <c r="CL43" s="573"/>
      <c r="CM43" s="573"/>
      <c r="CN43" s="573"/>
      <c r="CO43" s="573"/>
      <c r="CP43" s="573"/>
      <c r="CQ43" s="573"/>
      <c r="CR43" s="573"/>
      <c r="CS43" s="573"/>
      <c r="CT43" s="573"/>
      <c r="CU43" s="573"/>
      <c r="CV43" s="573"/>
      <c r="CW43" s="573"/>
      <c r="CX43" s="573"/>
      <c r="CY43" s="573"/>
      <c r="CZ43" s="573"/>
      <c r="DA43" s="573"/>
      <c r="DB43" s="573"/>
      <c r="DC43" s="573"/>
      <c r="DD43" s="573"/>
      <c r="DE43" s="573"/>
      <c r="DF43" s="573"/>
      <c r="DG43" s="573"/>
      <c r="DH43" s="573"/>
      <c r="DI43" s="573"/>
      <c r="DJ43" s="573"/>
      <c r="DK43" s="573"/>
      <c r="DL43" s="573"/>
      <c r="DM43" s="573"/>
      <c r="DN43" s="573"/>
      <c r="DO43" s="573"/>
      <c r="DP43" s="573"/>
      <c r="DQ43" s="573"/>
      <c r="DR43" s="573"/>
      <c r="DS43" s="573"/>
      <c r="DT43" s="573"/>
      <c r="DU43" s="573"/>
      <c r="DV43" s="573"/>
      <c r="DW43" s="573"/>
      <c r="DX43" s="573"/>
      <c r="DY43" s="573"/>
      <c r="DZ43" s="573"/>
      <c r="CKP43" s="518"/>
    </row>
    <row r="44" spans="1:130 2330:2330" s="574" customFormat="1" ht="21" customHeight="1" x14ac:dyDescent="0.2">
      <c r="A44" s="436">
        <v>36</v>
      </c>
      <c r="B44" s="436" t="s">
        <v>158</v>
      </c>
      <c r="C44" s="436" t="s">
        <v>821</v>
      </c>
      <c r="D44" s="436" t="s">
        <v>207</v>
      </c>
      <c r="E44" s="486">
        <v>43458</v>
      </c>
      <c r="F44" s="491">
        <f t="shared" si="51"/>
        <v>9</v>
      </c>
      <c r="G44" s="492">
        <f>IF(VLOOKUP(F44,'he so'!C:D,2,0)=0,0,VLOOKUP(F44,'he so'!C:D,2,0))</f>
        <v>0</v>
      </c>
      <c r="H44" s="488">
        <f t="shared" si="3"/>
        <v>3745000</v>
      </c>
      <c r="I44" s="487" t="s">
        <v>667</v>
      </c>
      <c r="J44" s="487">
        <v>1</v>
      </c>
      <c r="K44" s="493">
        <v>3745000</v>
      </c>
      <c r="L44" s="488">
        <f>VLOOKUP(I44,'thang luong moi'!B:I,'BANG LUONG 1'!J44+1,0)</f>
        <v>4213125</v>
      </c>
      <c r="M44" s="489">
        <f>VLOOKUP(C44,CC!$C$5:$AJ$67,34,0)</f>
        <v>26</v>
      </c>
      <c r="N44" s="488">
        <f t="shared" si="52"/>
        <v>4213125</v>
      </c>
      <c r="O44" s="488">
        <f>VLOOKUP(C44,CC!$C$5:$AM$67,36,0)</f>
        <v>0</v>
      </c>
      <c r="P44" s="488">
        <f>VLOOKUP(C44,CC!$C$5:$BS$67,69,0)</f>
        <v>0</v>
      </c>
      <c r="Q44" s="488">
        <f>VLOOKUP(C44,CC!$C$5:$BT$67,70,0)</f>
        <v>32</v>
      </c>
      <c r="R44" s="488">
        <f>VLOOKUP(C44,CC!$C$5:$AM$67,37,0)</f>
        <v>1</v>
      </c>
      <c r="S44" s="488">
        <f>VLOOKUP(C44,CC!$C$5:$AM$67,35,0)</f>
        <v>0</v>
      </c>
      <c r="T44" s="488">
        <f t="shared" si="49"/>
        <v>5671514.423076923</v>
      </c>
      <c r="U44" s="488">
        <f>VLOOKUP(C44,'Công tổng'!$C$53:$BY$94,75,0)-N44</f>
        <v>979182.69230769202</v>
      </c>
      <c r="V44" s="666">
        <f t="shared" si="53"/>
        <v>0</v>
      </c>
      <c r="W44" s="488">
        <f t="shared" si="54"/>
        <v>0</v>
      </c>
      <c r="X44" s="666">
        <f>(100%-VLOOKUP(C44,'chuyên cần'!$C$7:$AP$52,40,FALSE))*$X$4</f>
        <v>300000</v>
      </c>
      <c r="Y44" s="488"/>
      <c r="Z44" s="488">
        <f t="shared" si="55"/>
        <v>300000</v>
      </c>
      <c r="AA44" s="490">
        <f t="shared" si="56"/>
        <v>6950697.115384615</v>
      </c>
      <c r="AB44" s="669">
        <f>VLOOKUP(C44,'ung luong'!C111:F127,4,0)</f>
        <v>4000000</v>
      </c>
      <c r="AC44" s="490">
        <f t="shared" si="57"/>
        <v>0</v>
      </c>
      <c r="AD44" s="490"/>
      <c r="AE44" s="669">
        <v>100000</v>
      </c>
      <c r="AF44" s="490">
        <f t="shared" si="58"/>
        <v>2950697.115384615</v>
      </c>
      <c r="AG44" s="669">
        <f>VLOOKUP(C44,CC!$C$5:$BV$50,72,0)*22000</f>
        <v>0</v>
      </c>
      <c r="AH44" s="669">
        <f>VLOOKUP(C44,CC!$C$5:$BW$50,73,0)*22000</f>
        <v>0</v>
      </c>
      <c r="AI44" s="490"/>
      <c r="AJ44" s="490">
        <f t="shared" si="50"/>
        <v>3051000</v>
      </c>
      <c r="AK44" s="669">
        <f t="shared" si="39"/>
        <v>3051000</v>
      </c>
      <c r="AL44" s="989">
        <v>3051000</v>
      </c>
      <c r="AM44" s="978">
        <f t="shared" si="40"/>
        <v>0</v>
      </c>
      <c r="AN44" s="573"/>
      <c r="AO44" s="573"/>
      <c r="AP44" s="573"/>
      <c r="AQ44" s="573"/>
      <c r="AR44" s="573"/>
      <c r="AS44" s="573"/>
      <c r="AT44" s="573"/>
      <c r="AU44" s="573"/>
      <c r="AV44" s="573"/>
      <c r="AW44" s="573"/>
      <c r="AX44" s="573"/>
      <c r="AY44" s="573"/>
      <c r="AZ44" s="573"/>
      <c r="BA44" s="573"/>
      <c r="BB44" s="573"/>
      <c r="BC44" s="573"/>
      <c r="BD44" s="573"/>
      <c r="BE44" s="573"/>
      <c r="BF44" s="573"/>
      <c r="BG44" s="573"/>
      <c r="BH44" s="573"/>
      <c r="BI44" s="573"/>
      <c r="BJ44" s="573"/>
      <c r="BK44" s="573"/>
      <c r="BL44" s="573"/>
      <c r="BM44" s="573"/>
      <c r="BN44" s="573"/>
      <c r="BO44" s="573"/>
      <c r="BP44" s="573"/>
      <c r="BQ44" s="573"/>
      <c r="BR44" s="573"/>
      <c r="BS44" s="573"/>
      <c r="BT44" s="573"/>
      <c r="BU44" s="573"/>
      <c r="BV44" s="573"/>
      <c r="BW44" s="573"/>
      <c r="BX44" s="573"/>
      <c r="BY44" s="573"/>
      <c r="BZ44" s="573"/>
      <c r="CA44" s="573"/>
      <c r="CB44" s="573"/>
      <c r="CC44" s="573"/>
      <c r="CD44" s="573"/>
      <c r="CE44" s="573"/>
      <c r="CF44" s="573"/>
      <c r="CG44" s="573"/>
      <c r="CH44" s="573"/>
      <c r="CI44" s="573"/>
      <c r="CJ44" s="573"/>
      <c r="CK44" s="573"/>
      <c r="CL44" s="573"/>
      <c r="CM44" s="573"/>
      <c r="CN44" s="573"/>
      <c r="CO44" s="573"/>
      <c r="CP44" s="573"/>
      <c r="CQ44" s="573"/>
      <c r="CR44" s="573"/>
      <c r="CS44" s="573"/>
      <c r="CT44" s="573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3"/>
      <c r="DM44" s="573"/>
      <c r="DN44" s="573"/>
      <c r="DO44" s="573"/>
      <c r="DP44" s="573"/>
      <c r="DQ44" s="573"/>
      <c r="DR44" s="573"/>
      <c r="DS44" s="573"/>
      <c r="DT44" s="573"/>
      <c r="DU44" s="573"/>
      <c r="DV44" s="573"/>
      <c r="DW44" s="573"/>
      <c r="DX44" s="573"/>
      <c r="DY44" s="573"/>
      <c r="DZ44" s="573"/>
      <c r="CKP44" s="518"/>
    </row>
    <row r="45" spans="1:130 2330:2330" s="574" customFormat="1" ht="21" customHeight="1" x14ac:dyDescent="0.2">
      <c r="A45" s="436">
        <v>37</v>
      </c>
      <c r="B45" s="436" t="s">
        <v>162</v>
      </c>
      <c r="C45" s="436" t="s">
        <v>829</v>
      </c>
      <c r="D45" s="436" t="s">
        <v>207</v>
      </c>
      <c r="E45" s="486">
        <v>43523</v>
      </c>
      <c r="F45" s="491">
        <f t="shared" si="51"/>
        <v>7</v>
      </c>
      <c r="G45" s="492">
        <f>IF(VLOOKUP(F45,'he so'!C:D,2,0)=0,0,VLOOKUP(F45,'he so'!C:D,2,0))</f>
        <v>0</v>
      </c>
      <c r="H45" s="488">
        <f t="shared" si="3"/>
        <v>3745000</v>
      </c>
      <c r="I45" s="487" t="s">
        <v>667</v>
      </c>
      <c r="J45" s="487">
        <v>1</v>
      </c>
      <c r="K45" s="493">
        <v>3745000</v>
      </c>
      <c r="L45" s="488">
        <f>VLOOKUP(I45,'thang luong moi'!B:I,'BANG LUONG 1'!J45+1,0)</f>
        <v>4213125</v>
      </c>
      <c r="M45" s="489">
        <f>VLOOKUP(C45,CC!$C$5:$AJ$67,34,0)</f>
        <v>26</v>
      </c>
      <c r="N45" s="488">
        <f t="shared" ref="N45" si="59">L45/$N$2*M45</f>
        <v>4213125</v>
      </c>
      <c r="O45" s="488">
        <f>VLOOKUP(C45,CC!$C$5:$AM$67,36,0)</f>
        <v>0</v>
      </c>
      <c r="P45" s="488">
        <f>VLOOKUP(C45,CC!$C$5:$BS$67,69,0)</f>
        <v>0</v>
      </c>
      <c r="Q45" s="488">
        <f>VLOOKUP(C45,CC!$C$5:$BT$67,70,0)</f>
        <v>0</v>
      </c>
      <c r="R45" s="488">
        <f>VLOOKUP(C45,CC!$C$5:$AM$67,37,0)</f>
        <v>1</v>
      </c>
      <c r="S45" s="488">
        <f>VLOOKUP(C45,CC!$C$5:$AM$67,35,0)</f>
        <v>0</v>
      </c>
      <c r="T45" s="488">
        <f t="shared" si="49"/>
        <v>4375168.269230769</v>
      </c>
      <c r="U45" s="488">
        <f>VLOOKUP(C45,'Công tổng'!$C$53:$BY$94,75,0)-N45</f>
        <v>286875</v>
      </c>
      <c r="V45" s="666">
        <f t="shared" ref="V45" si="60">+L45*G45</f>
        <v>0</v>
      </c>
      <c r="W45" s="488">
        <f t="shared" ref="W45" si="61">(L45)*G45</f>
        <v>0</v>
      </c>
      <c r="X45" s="666">
        <f>(100%-VLOOKUP(C45,'chuyên cần'!$C$7:$AP$52,40,FALSE))*$X$4</f>
        <v>300000</v>
      </c>
      <c r="Y45" s="488"/>
      <c r="Z45" s="488">
        <f t="shared" ref="Z45" si="62">SUM(W45:Y45)</f>
        <v>300000</v>
      </c>
      <c r="AA45" s="490">
        <f t="shared" ref="AA45" si="63">Z45+U45+T45</f>
        <v>4962043.269230769</v>
      </c>
      <c r="AB45" s="669">
        <f>VLOOKUP(C45,'ung luong'!C112:F130,4,0)</f>
        <v>0</v>
      </c>
      <c r="AC45" s="490">
        <f t="shared" ref="AC45" si="64">AD45*$AC$3</f>
        <v>0</v>
      </c>
      <c r="AD45" s="490"/>
      <c r="AE45" s="669">
        <v>100000</v>
      </c>
      <c r="AF45" s="490">
        <f t="shared" ref="AF45" si="65">AA45-AB45-AC45</f>
        <v>4962043.269230769</v>
      </c>
      <c r="AG45" s="669">
        <f>VLOOKUP(C45,CC!$C$5:$BV$50,72,0)*22000</f>
        <v>0</v>
      </c>
      <c r="AH45" s="669">
        <f>VLOOKUP(C45,CC!$C$5:$BW$50,73,0)*22000</f>
        <v>0</v>
      </c>
      <c r="AI45" s="490"/>
      <c r="AJ45" s="669">
        <f t="shared" ref="AJ45" si="66">ROUND(AF45,-3)+AI45+AG45+AH45+AE45</f>
        <v>5062000</v>
      </c>
      <c r="AK45" s="669">
        <f t="shared" si="39"/>
        <v>5062000</v>
      </c>
      <c r="AL45" s="989">
        <v>5062000</v>
      </c>
      <c r="AM45" s="978">
        <f t="shared" si="40"/>
        <v>0</v>
      </c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73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73"/>
      <c r="BV45" s="573"/>
      <c r="BW45" s="573"/>
      <c r="BX45" s="573"/>
      <c r="BY45" s="573"/>
      <c r="BZ45" s="573"/>
      <c r="CA45" s="573"/>
      <c r="CB45" s="573"/>
      <c r="CC45" s="573"/>
      <c r="CD45" s="573"/>
      <c r="CE45" s="573"/>
      <c r="CF45" s="573"/>
      <c r="CG45" s="573"/>
      <c r="CH45" s="573"/>
      <c r="CI45" s="573"/>
      <c r="CJ45" s="573"/>
      <c r="CK45" s="573"/>
      <c r="CL45" s="573"/>
      <c r="CM45" s="573"/>
      <c r="CN45" s="573"/>
      <c r="CO45" s="573"/>
      <c r="CP45" s="573"/>
      <c r="CQ45" s="573"/>
      <c r="CR45" s="573"/>
      <c r="CS45" s="573"/>
      <c r="CT45" s="573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3"/>
      <c r="DM45" s="573"/>
      <c r="DN45" s="573"/>
      <c r="DO45" s="573"/>
      <c r="DP45" s="573"/>
      <c r="DQ45" s="573"/>
      <c r="DR45" s="573"/>
      <c r="DS45" s="573"/>
      <c r="DT45" s="573"/>
      <c r="DU45" s="573"/>
      <c r="DV45" s="573"/>
      <c r="DW45" s="573"/>
      <c r="DX45" s="573"/>
      <c r="DY45" s="573"/>
      <c r="DZ45" s="573"/>
      <c r="CKP45" s="518"/>
    </row>
    <row r="46" spans="1:130 2330:2330" s="574" customFormat="1" ht="21" customHeight="1" x14ac:dyDescent="0.2">
      <c r="A46" s="436">
        <v>38</v>
      </c>
      <c r="B46" s="436" t="s">
        <v>166</v>
      </c>
      <c r="C46" s="436" t="s">
        <v>891</v>
      </c>
      <c r="D46" s="436" t="s">
        <v>207</v>
      </c>
      <c r="E46" s="486">
        <v>43648</v>
      </c>
      <c r="F46" s="491">
        <f t="shared" si="51"/>
        <v>3</v>
      </c>
      <c r="G46" s="492">
        <f>IF(VLOOKUP(F46,'he so'!C:D,2,0)=0,0,VLOOKUP(F46,'he so'!C:D,2,0))</f>
        <v>0</v>
      </c>
      <c r="H46" s="488">
        <f t="shared" si="3"/>
        <v>3745000</v>
      </c>
      <c r="I46" s="487" t="s">
        <v>667</v>
      </c>
      <c r="J46" s="487">
        <v>1</v>
      </c>
      <c r="K46" s="493">
        <v>3745000</v>
      </c>
      <c r="L46" s="488">
        <f>VLOOKUP(I46,'thang luong moi'!B:I,'BANG LUONG 1'!J46+1,0)</f>
        <v>4213125</v>
      </c>
      <c r="M46" s="489">
        <f>VLOOKUP(C46,CC!$C$5:$AJ$67,34,0)</f>
        <v>26</v>
      </c>
      <c r="N46" s="488">
        <f t="shared" ref="N46:N47" si="67">L46/$N$2*M46</f>
        <v>4213125</v>
      </c>
      <c r="O46" s="488">
        <f>VLOOKUP(C46,CC!$C$5:$AM$67,36,0)</f>
        <v>0</v>
      </c>
      <c r="P46" s="488">
        <f>VLOOKUP(C46,CC!$C$5:$BS$67,69,0)</f>
        <v>0</v>
      </c>
      <c r="Q46" s="488">
        <f>VLOOKUP(C46,CC!$C$5:$BT$67,70,0)</f>
        <v>24</v>
      </c>
      <c r="R46" s="488">
        <f>VLOOKUP(C46,CC!$C$5:$AM$67,37,0)</f>
        <v>1</v>
      </c>
      <c r="S46" s="488">
        <f>VLOOKUP(C46,CC!$C$5:$AM$67,35,0)</f>
        <v>0</v>
      </c>
      <c r="T46" s="488">
        <f t="shared" ref="T46" si="68">((L46/$N$2)*M46)+(O46*(L46/$N$2))+((P46/8)*1.5*(L46/$N$2))+((Q46/8)*2*L46/$N$2)+(S46*3*(L46/$N$2)+(L46/$N$2)*R46)</f>
        <v>5347427.884615384</v>
      </c>
      <c r="U46" s="488">
        <f>VLOOKUP(C46,'Công tổng'!$C$53:$BY$94,75,0)-N46</f>
        <v>806105.76923076902</v>
      </c>
      <c r="V46" s="666">
        <f t="shared" ref="V46" si="69">+L46*G46</f>
        <v>0</v>
      </c>
      <c r="W46" s="488">
        <f t="shared" ref="W46" si="70">(L46)*G46</f>
        <v>0</v>
      </c>
      <c r="X46" s="666">
        <f>(100%-VLOOKUP(C46,'chuyên cần'!$C$7:$AP$52,40,FALSE))*$X$4</f>
        <v>300000</v>
      </c>
      <c r="Y46" s="488"/>
      <c r="Z46" s="488">
        <f t="shared" ref="Z46" si="71">SUM(W46:Y46)</f>
        <v>300000</v>
      </c>
      <c r="AA46" s="490">
        <f t="shared" ref="AA46" si="72">Z46+U46+T46</f>
        <v>6453533.6538461531</v>
      </c>
      <c r="AB46" s="669">
        <f>VLOOKUP(C46,'ung luong'!C113:F131,4,0)</f>
        <v>4000000</v>
      </c>
      <c r="AC46" s="490">
        <f t="shared" ref="AC46" si="73">AD46*$AC$3</f>
        <v>0</v>
      </c>
      <c r="AD46" s="490"/>
      <c r="AE46" s="669">
        <v>100000</v>
      </c>
      <c r="AF46" s="490">
        <f t="shared" ref="AF46" si="74">AA46-AB46-AC46</f>
        <v>2453533.6538461531</v>
      </c>
      <c r="AG46" s="669">
        <f>VLOOKUP(C46,CC!$C$5:$BV$50,72,0)*22000</f>
        <v>0</v>
      </c>
      <c r="AH46" s="669">
        <f>VLOOKUP(C46,CC!$C$5:$BW$50,73,0)*22000</f>
        <v>0</v>
      </c>
      <c r="AI46" s="490"/>
      <c r="AJ46" s="669">
        <f t="shared" ref="AJ46" si="75">ROUND(AF46,-3)+AI46+AG46+AH46+AE46</f>
        <v>2554000</v>
      </c>
      <c r="AK46" s="669">
        <f t="shared" ref="AK46" si="76">ROUND(AF46,-3)+AE46+AH46</f>
        <v>2554000</v>
      </c>
      <c r="AL46" s="989">
        <v>2554000</v>
      </c>
      <c r="AM46" s="978">
        <f t="shared" si="40"/>
        <v>0</v>
      </c>
      <c r="AN46" s="573"/>
      <c r="AO46" s="573"/>
      <c r="AP46" s="573"/>
      <c r="AQ46" s="573"/>
      <c r="AR46" s="573"/>
      <c r="AS46" s="573"/>
      <c r="AT46" s="573"/>
      <c r="AU46" s="573"/>
      <c r="AV46" s="573"/>
      <c r="AW46" s="573"/>
      <c r="AX46" s="573"/>
      <c r="AY46" s="573"/>
      <c r="AZ46" s="573"/>
      <c r="BA46" s="573"/>
      <c r="BB46" s="573"/>
      <c r="BC46" s="573"/>
      <c r="BD46" s="573"/>
      <c r="BE46" s="573"/>
      <c r="BF46" s="573"/>
      <c r="BG46" s="573"/>
      <c r="BH46" s="573"/>
      <c r="BI46" s="573"/>
      <c r="BJ46" s="573"/>
      <c r="BK46" s="573"/>
      <c r="BL46" s="573"/>
      <c r="BM46" s="573"/>
      <c r="BN46" s="573"/>
      <c r="BO46" s="573"/>
      <c r="BP46" s="573"/>
      <c r="BQ46" s="573"/>
      <c r="BR46" s="573"/>
      <c r="BS46" s="573"/>
      <c r="BT46" s="573"/>
      <c r="BU46" s="573"/>
      <c r="BV46" s="573"/>
      <c r="BW46" s="573"/>
      <c r="BX46" s="573"/>
      <c r="BY46" s="573"/>
      <c r="BZ46" s="573"/>
      <c r="CA46" s="573"/>
      <c r="CB46" s="573"/>
      <c r="CC46" s="573"/>
      <c r="CD46" s="573"/>
      <c r="CE46" s="573"/>
      <c r="CF46" s="573"/>
      <c r="CG46" s="573"/>
      <c r="CH46" s="573"/>
      <c r="CI46" s="573"/>
      <c r="CJ46" s="573"/>
      <c r="CK46" s="573"/>
      <c r="CL46" s="573"/>
      <c r="CM46" s="573"/>
      <c r="CN46" s="573"/>
      <c r="CO46" s="573"/>
      <c r="CP46" s="573"/>
      <c r="CQ46" s="573"/>
      <c r="CR46" s="573"/>
      <c r="CS46" s="573"/>
      <c r="CT46" s="573"/>
      <c r="CU46" s="573"/>
      <c r="CV46" s="573"/>
      <c r="CW46" s="573"/>
      <c r="CX46" s="573"/>
      <c r="CY46" s="573"/>
      <c r="CZ46" s="573"/>
      <c r="DA46" s="573"/>
      <c r="DB46" s="573"/>
      <c r="DC46" s="573"/>
      <c r="DD46" s="573"/>
      <c r="DE46" s="573"/>
      <c r="DF46" s="573"/>
      <c r="DG46" s="573"/>
      <c r="DH46" s="573"/>
      <c r="DI46" s="573"/>
      <c r="DJ46" s="573"/>
      <c r="DK46" s="573"/>
      <c r="DL46" s="573"/>
      <c r="DM46" s="573"/>
      <c r="DN46" s="573"/>
      <c r="DO46" s="573"/>
      <c r="DP46" s="573"/>
      <c r="DQ46" s="573"/>
      <c r="DR46" s="573"/>
      <c r="DS46" s="573"/>
      <c r="DT46" s="573"/>
      <c r="DU46" s="573"/>
      <c r="DV46" s="573"/>
      <c r="DW46" s="573"/>
      <c r="DX46" s="573"/>
      <c r="DY46" s="573"/>
      <c r="DZ46" s="573"/>
      <c r="CKP46" s="518"/>
    </row>
    <row r="47" spans="1:130 2330:2330" s="574" customFormat="1" ht="21" customHeight="1" x14ac:dyDescent="0.2">
      <c r="A47" s="436">
        <v>39</v>
      </c>
      <c r="B47" s="436" t="s">
        <v>168</v>
      </c>
      <c r="C47" s="436" t="s">
        <v>912</v>
      </c>
      <c r="D47" s="436" t="s">
        <v>207</v>
      </c>
      <c r="E47" s="486">
        <v>43697</v>
      </c>
      <c r="F47" s="491">
        <f t="shared" ref="F47" si="77">IF(IF(E47="",0,ROUND(($P$3-E47)/30,0))&lt;0,0,IF(E47="",0,ROUND(($P$3-E47)/30,0)))</f>
        <v>1</v>
      </c>
      <c r="G47" s="492">
        <f>IF(VLOOKUP(F47,'he so'!C:D,2,0)=0,0,VLOOKUP(F47,'he so'!C:D,2,0))</f>
        <v>0</v>
      </c>
      <c r="H47" s="488">
        <f t="shared" si="3"/>
        <v>3745000</v>
      </c>
      <c r="I47" s="487" t="s">
        <v>667</v>
      </c>
      <c r="J47" s="487">
        <v>1</v>
      </c>
      <c r="K47" s="493"/>
      <c r="L47" s="488">
        <f>VLOOKUP(I47,'thang luong moi'!B:I,'BANG LUONG 1'!J47+1,0)</f>
        <v>4213125</v>
      </c>
      <c r="M47" s="489">
        <f>VLOOKUP(C47,CC!$C$5:$AJ$67,34,0)</f>
        <v>26</v>
      </c>
      <c r="N47" s="488">
        <f t="shared" si="67"/>
        <v>4213125</v>
      </c>
      <c r="O47" s="488">
        <f>VLOOKUP(C47,CC!$C$5:$AM$67,36,0)</f>
        <v>0</v>
      </c>
      <c r="P47" s="488">
        <f>VLOOKUP(C47,CC!$C$5:$BS$67,69,0)</f>
        <v>0</v>
      </c>
      <c r="Q47" s="488">
        <f>VLOOKUP(C47,CC!$C$5:$BT$67,70,0)</f>
        <v>24</v>
      </c>
      <c r="R47" s="488">
        <f>VLOOKUP(C47,CC!$C$5:$AM$67,37,0)</f>
        <v>1</v>
      </c>
      <c r="S47" s="488">
        <f>VLOOKUP(C47,CC!$C$5:$AM$67,35,0)</f>
        <v>0</v>
      </c>
      <c r="T47" s="488">
        <f t="shared" ref="T47" si="78">((L47/$N$2)*M47)+(O47*(L47/$N$2))+((P47/8)*1.5*(L47/$N$2))+((Q47/8)*2*L47/$N$2)+(S47*3*(L47/$N$2)+(L47/$N$2)*R47)</f>
        <v>5347427.884615384</v>
      </c>
      <c r="U47" s="488">
        <f>VLOOKUP(C47,'Công tổng'!$C$53:$BY$94,75,0)-N47</f>
        <v>806105.76923076902</v>
      </c>
      <c r="V47" s="666">
        <f t="shared" ref="V47" si="79">+L47*G47</f>
        <v>0</v>
      </c>
      <c r="W47" s="488">
        <f t="shared" ref="W47" si="80">(L47)*G47</f>
        <v>0</v>
      </c>
      <c r="X47" s="666">
        <f>(100%-VLOOKUP(C47,'chuyên cần'!$C$7:$AP$52,40,FALSE))*$X$4</f>
        <v>300000</v>
      </c>
      <c r="Y47" s="488"/>
      <c r="Z47" s="488">
        <f t="shared" ref="Z47" si="81">SUM(W47:Y47)</f>
        <v>300000</v>
      </c>
      <c r="AA47" s="490">
        <f t="shared" ref="AA47" si="82">Z47+U47+T47</f>
        <v>6453533.6538461531</v>
      </c>
      <c r="AB47" s="669">
        <f>VLOOKUP(C47,'ung luong'!C114:F132,4,0)</f>
        <v>3000000</v>
      </c>
      <c r="AC47" s="490">
        <f t="shared" ref="AC47" si="83">AD47*$AC$3</f>
        <v>0</v>
      </c>
      <c r="AD47" s="490"/>
      <c r="AE47" s="669">
        <v>100000</v>
      </c>
      <c r="AF47" s="490">
        <f t="shared" ref="AF47" si="84">AA47-AB47-AC47</f>
        <v>3453533.6538461531</v>
      </c>
      <c r="AG47" s="669">
        <f>VLOOKUP(C47,CC!$C$5:$BV$50,72,0)*22000</f>
        <v>0</v>
      </c>
      <c r="AH47" s="669">
        <f>VLOOKUP(C47,CC!$C$5:$BW$50,73,0)*22000</f>
        <v>0</v>
      </c>
      <c r="AI47" s="490"/>
      <c r="AJ47" s="669">
        <f t="shared" ref="AJ47" si="85">ROUND(AF47,-3)+AI47+AG47+AH47+AE47</f>
        <v>3554000</v>
      </c>
      <c r="AK47" s="669">
        <f t="shared" ref="AK47" si="86">ROUND(AF47,-3)+AE47+AH47</f>
        <v>3554000</v>
      </c>
      <c r="AL47" s="989">
        <v>3554000</v>
      </c>
      <c r="AM47" s="978">
        <f t="shared" si="40"/>
        <v>0</v>
      </c>
      <c r="AN47" s="573"/>
      <c r="AO47" s="573"/>
      <c r="AP47" s="573"/>
      <c r="AQ47" s="573"/>
      <c r="AR47" s="573"/>
      <c r="AS47" s="573"/>
      <c r="AT47" s="573"/>
      <c r="AU47" s="573"/>
      <c r="AV47" s="573"/>
      <c r="AW47" s="573"/>
      <c r="AX47" s="573"/>
      <c r="AY47" s="573"/>
      <c r="AZ47" s="573"/>
      <c r="BA47" s="573"/>
      <c r="BB47" s="573"/>
      <c r="BC47" s="573"/>
      <c r="BD47" s="573"/>
      <c r="BE47" s="573"/>
      <c r="BF47" s="573"/>
      <c r="BG47" s="573"/>
      <c r="BH47" s="573"/>
      <c r="BI47" s="573"/>
      <c r="BJ47" s="573"/>
      <c r="BK47" s="573"/>
      <c r="BL47" s="573"/>
      <c r="BM47" s="573"/>
      <c r="BN47" s="573"/>
      <c r="BO47" s="573"/>
      <c r="BP47" s="573"/>
      <c r="BQ47" s="573"/>
      <c r="BR47" s="573"/>
      <c r="BS47" s="573"/>
      <c r="BT47" s="573"/>
      <c r="BU47" s="573"/>
      <c r="BV47" s="573"/>
      <c r="BW47" s="573"/>
      <c r="BX47" s="573"/>
      <c r="BY47" s="573"/>
      <c r="BZ47" s="573"/>
      <c r="CA47" s="573"/>
      <c r="CB47" s="573"/>
      <c r="CC47" s="573"/>
      <c r="CD47" s="573"/>
      <c r="CE47" s="573"/>
      <c r="CF47" s="573"/>
      <c r="CG47" s="573"/>
      <c r="CH47" s="573"/>
      <c r="CI47" s="573"/>
      <c r="CJ47" s="573"/>
      <c r="CK47" s="573"/>
      <c r="CL47" s="573"/>
      <c r="CM47" s="573"/>
      <c r="CN47" s="573"/>
      <c r="CO47" s="573"/>
      <c r="CP47" s="573"/>
      <c r="CQ47" s="573"/>
      <c r="CR47" s="573"/>
      <c r="CS47" s="573"/>
      <c r="CT47" s="573"/>
      <c r="CU47" s="573"/>
      <c r="CV47" s="573"/>
      <c r="CW47" s="573"/>
      <c r="CX47" s="573"/>
      <c r="CY47" s="573"/>
      <c r="CZ47" s="573"/>
      <c r="DA47" s="573"/>
      <c r="DB47" s="573"/>
      <c r="DC47" s="573"/>
      <c r="DD47" s="573"/>
      <c r="DE47" s="573"/>
      <c r="DF47" s="573"/>
      <c r="DG47" s="573"/>
      <c r="DH47" s="573"/>
      <c r="DI47" s="573"/>
      <c r="DJ47" s="573"/>
      <c r="DK47" s="573"/>
      <c r="DL47" s="573"/>
      <c r="DM47" s="573"/>
      <c r="DN47" s="573"/>
      <c r="DO47" s="573"/>
      <c r="DP47" s="573"/>
      <c r="DQ47" s="573"/>
      <c r="DR47" s="573"/>
      <c r="DS47" s="573"/>
      <c r="DT47" s="573"/>
      <c r="DU47" s="573"/>
      <c r="DV47" s="573"/>
      <c r="DW47" s="573"/>
      <c r="DX47" s="573"/>
      <c r="DY47" s="573"/>
      <c r="DZ47" s="573"/>
      <c r="CKP47" s="518"/>
    </row>
    <row r="48" spans="1:130 2330:2330" s="405" customFormat="1" ht="27.75" customHeight="1" x14ac:dyDescent="0.2">
      <c r="A48" s="425" t="s">
        <v>14</v>
      </c>
      <c r="B48" s="425"/>
      <c r="C48" s="425" t="s">
        <v>738</v>
      </c>
      <c r="D48" s="425"/>
      <c r="E48" s="425"/>
      <c r="F48" s="425"/>
      <c r="G48" s="481"/>
      <c r="H48" s="482"/>
      <c r="I48" s="483"/>
      <c r="J48" s="483"/>
      <c r="K48" s="483"/>
      <c r="L48" s="483"/>
      <c r="M48" s="484"/>
      <c r="N48" s="485"/>
      <c r="O48" s="485"/>
      <c r="P48" s="485"/>
      <c r="Q48" s="485"/>
      <c r="R48" s="485"/>
      <c r="S48" s="485"/>
      <c r="T48" s="485"/>
      <c r="U48" s="485"/>
      <c r="V48" s="485"/>
      <c r="W48" s="485"/>
      <c r="X48" s="485"/>
      <c r="Y48" s="485"/>
      <c r="Z48" s="485"/>
      <c r="AA48" s="485">
        <f>SUM(AA49:AA53)</f>
        <v>32025245.807692308</v>
      </c>
      <c r="AB48" s="485">
        <f t="shared" ref="AB48:AJ48" si="87">SUM(AB49:AB53)</f>
        <v>11000000</v>
      </c>
      <c r="AC48" s="485">
        <f t="shared" si="87"/>
        <v>961170</v>
      </c>
      <c r="AD48" s="485">
        <f t="shared" si="87"/>
        <v>9154000</v>
      </c>
      <c r="AE48" s="485">
        <f t="shared" si="87"/>
        <v>500000</v>
      </c>
      <c r="AF48" s="485">
        <f t="shared" si="87"/>
        <v>20064075.807692308</v>
      </c>
      <c r="AG48" s="485">
        <f t="shared" si="87"/>
        <v>0</v>
      </c>
      <c r="AH48" s="485">
        <f t="shared" si="87"/>
        <v>0</v>
      </c>
      <c r="AI48" s="485">
        <f t="shared" si="87"/>
        <v>0</v>
      </c>
      <c r="AJ48" s="485">
        <f t="shared" si="87"/>
        <v>20564000</v>
      </c>
      <c r="AK48" s="485">
        <f t="shared" ref="AK48" si="88">SUM(AK49:AK52)</f>
        <v>16948000</v>
      </c>
      <c r="AL48" s="991"/>
      <c r="AM48" s="991"/>
      <c r="CKP48" s="518"/>
    </row>
    <row r="49" spans="1:16318" s="366" customFormat="1" ht="21" customHeight="1" x14ac:dyDescent="0.2">
      <c r="A49" s="663">
        <v>40</v>
      </c>
      <c r="B49" s="436" t="s">
        <v>159</v>
      </c>
      <c r="C49" s="663" t="s">
        <v>65</v>
      </c>
      <c r="D49" s="663" t="s">
        <v>805</v>
      </c>
      <c r="E49" s="664">
        <v>42086</v>
      </c>
      <c r="F49" s="661">
        <f>IF(IF(E49="",0,ROUND(($P$3-E49)/30,0))&lt;0,0,IF(E49="",0,ROUND(($P$3-E49)/30,0)))</f>
        <v>55</v>
      </c>
      <c r="G49" s="665">
        <f>IF(VLOOKUP(F49,'[1]he so'!C:D,2,0)=0,0,VLOOKUP(F49,'[1]he so'!C:D,2,0))</f>
        <v>0.04</v>
      </c>
      <c r="H49" s="666">
        <f>$H$4</f>
        <v>3745000</v>
      </c>
      <c r="I49" s="667" t="s">
        <v>659</v>
      </c>
      <c r="J49" s="667">
        <v>1</v>
      </c>
      <c r="K49" s="662">
        <v>3745000</v>
      </c>
      <c r="L49" s="668">
        <v>4381650</v>
      </c>
      <c r="M49" s="489">
        <f>VLOOKUP(C49,CC!$C$5:$AJ$67,34,0)</f>
        <v>23</v>
      </c>
      <c r="N49" s="488">
        <f>L49/$N$2*M49</f>
        <v>3876075</v>
      </c>
      <c r="O49" s="488">
        <f>VLOOKUP(C49,CC!$C$5:$AM$67,36,0)</f>
        <v>0</v>
      </c>
      <c r="P49" s="488">
        <f>VLOOKUP(C49,CC!$C$5:$BS$67,69,0)</f>
        <v>0</v>
      </c>
      <c r="Q49" s="488">
        <f>VLOOKUP(C49,CC!$C$5:$BT$67,70,0)</f>
        <v>0</v>
      </c>
      <c r="R49" s="488">
        <f>VLOOKUP(C49,CC!$C$5:$AM$67,37,0)</f>
        <v>1</v>
      </c>
      <c r="S49" s="488">
        <f>VLOOKUP(C49,CC!$C$5:$AM$67,35,0)</f>
        <v>0</v>
      </c>
      <c r="T49" s="488">
        <f>(((L49+Y49)/$N$2)*M49)+(O49*(L49/$N$2))+((P49/8)*1.5*(L49/$N$2))+((Q49/8)*2*(L49+Y49)/$N$2)+(S49*3*((L49+Y49)/$N$2)+((L49/$N$2))*R49)</f>
        <v>4752292.307692308</v>
      </c>
      <c r="U49" s="488"/>
      <c r="V49" s="666">
        <f>+L49*G49</f>
        <v>175266</v>
      </c>
      <c r="W49" s="488">
        <f>(L49)*G49</f>
        <v>175266</v>
      </c>
      <c r="X49" s="666">
        <f>(100%-VLOOKUP(C49,'chuyên cần'!$C$7:$AP$52,40,FALSE))*$X$4</f>
        <v>0</v>
      </c>
      <c r="Y49" s="666">
        <v>800000</v>
      </c>
      <c r="Z49" s="666">
        <f t="shared" ref="Z49:Z54" si="89">SUM(W49:Y49)</f>
        <v>975266</v>
      </c>
      <c r="AA49" s="669">
        <f>T49+W49+X49</f>
        <v>4927558.307692308</v>
      </c>
      <c r="AB49" s="669">
        <f>VLOOKUP(C49,'ung luong'!C116:F157,4,0)</f>
        <v>2000000</v>
      </c>
      <c r="AC49" s="669">
        <f>AD49*$AC$3</f>
        <v>0</v>
      </c>
      <c r="AD49" s="669"/>
      <c r="AE49" s="669">
        <v>100000</v>
      </c>
      <c r="AF49" s="490">
        <f>AA49-AB49-AC49</f>
        <v>2927558.307692308</v>
      </c>
      <c r="AG49" s="669">
        <f>VLOOKUP(C49,CC!$C$5:$BV$50,72,0)*22000</f>
        <v>0</v>
      </c>
      <c r="AH49" s="669">
        <f>VLOOKUP(C49,CC!$C$5:$BW$50,73,0)*22000</f>
        <v>0</v>
      </c>
      <c r="AI49" s="490"/>
      <c r="AJ49" s="669">
        <f>ROUND(AF49,-3)+AI49+AG49+AH49+AE49</f>
        <v>3028000</v>
      </c>
      <c r="AK49" s="669">
        <f t="shared" si="39"/>
        <v>3028000</v>
      </c>
      <c r="AL49" s="992"/>
      <c r="AM49" s="992"/>
      <c r="AN49" s="530"/>
      <c r="AO49" s="530"/>
      <c r="AP49" s="530"/>
      <c r="AQ49" s="530"/>
      <c r="AR49" s="530"/>
      <c r="AS49" s="530"/>
      <c r="AT49" s="530"/>
      <c r="AU49" s="530"/>
      <c r="AV49" s="530"/>
      <c r="AW49" s="530"/>
      <c r="AX49" s="530"/>
      <c r="AY49" s="530"/>
      <c r="AZ49" s="530"/>
      <c r="BA49" s="530"/>
      <c r="BB49" s="530"/>
      <c r="BC49" s="530"/>
      <c r="BD49" s="530"/>
      <c r="BE49" s="530"/>
      <c r="BF49" s="530"/>
      <c r="BG49" s="530"/>
      <c r="BH49" s="530"/>
      <c r="BI49" s="530"/>
      <c r="BJ49" s="530"/>
      <c r="BK49" s="530"/>
      <c r="BL49" s="530"/>
      <c r="BM49" s="530"/>
      <c r="BN49" s="530"/>
      <c r="BO49" s="530"/>
      <c r="BP49" s="530"/>
      <c r="BQ49" s="530"/>
      <c r="BR49" s="530"/>
      <c r="BS49" s="530"/>
      <c r="BT49" s="530"/>
      <c r="BU49" s="530"/>
      <c r="BV49" s="530"/>
      <c r="BW49" s="530"/>
      <c r="BX49" s="530"/>
      <c r="BY49" s="530"/>
      <c r="BZ49" s="530"/>
      <c r="CA49" s="530"/>
      <c r="CB49" s="530"/>
      <c r="CC49" s="530"/>
      <c r="CD49" s="530"/>
      <c r="CE49" s="530"/>
      <c r="CF49" s="530"/>
      <c r="CG49" s="530"/>
      <c r="CH49" s="530"/>
      <c r="CI49" s="530"/>
      <c r="CJ49" s="530"/>
      <c r="CK49" s="530"/>
      <c r="CL49" s="530"/>
      <c r="CM49" s="530"/>
      <c r="CN49" s="530"/>
      <c r="CO49" s="530"/>
      <c r="CP49" s="530"/>
      <c r="CQ49" s="530"/>
      <c r="CR49" s="530"/>
      <c r="CS49" s="530"/>
      <c r="CT49" s="530"/>
      <c r="CU49" s="530"/>
      <c r="CV49" s="530"/>
      <c r="CW49" s="530"/>
      <c r="CX49" s="530"/>
      <c r="CY49" s="530"/>
      <c r="CZ49" s="530"/>
      <c r="DA49" s="530"/>
      <c r="DB49" s="530"/>
      <c r="DC49" s="530"/>
      <c r="DD49" s="530"/>
      <c r="DE49" s="530"/>
      <c r="DF49" s="530"/>
      <c r="DG49" s="530"/>
      <c r="DH49" s="530"/>
      <c r="DI49" s="530"/>
      <c r="DJ49" s="530"/>
      <c r="DK49" s="530"/>
      <c r="DL49" s="530"/>
      <c r="DM49" s="530"/>
      <c r="DN49" s="530"/>
      <c r="DO49" s="530"/>
      <c r="DP49" s="530"/>
      <c r="DQ49" s="530"/>
      <c r="DR49" s="530"/>
      <c r="DS49" s="530"/>
      <c r="DT49" s="530"/>
      <c r="DU49" s="530"/>
      <c r="DV49" s="530"/>
      <c r="DW49" s="530"/>
      <c r="DX49" s="530"/>
      <c r="DY49" s="530"/>
      <c r="DZ49" s="530"/>
      <c r="CKP49" s="518"/>
    </row>
    <row r="50" spans="1:16318" s="518" customFormat="1" ht="21" customHeight="1" x14ac:dyDescent="0.2">
      <c r="A50" s="663">
        <v>41</v>
      </c>
      <c r="B50" s="436" t="s">
        <v>160</v>
      </c>
      <c r="C50" s="436" t="s">
        <v>239</v>
      </c>
      <c r="D50" s="436" t="s">
        <v>207</v>
      </c>
      <c r="E50" s="486">
        <v>41706</v>
      </c>
      <c r="F50" s="491">
        <f>IF(IF(E50="",0,ROUND(($P$3-E50)/30,0))&lt;0,0,IF(E50="",0,ROUND(($P$3-E50)/30,0)))</f>
        <v>68</v>
      </c>
      <c r="G50" s="492">
        <f>IF(VLOOKUP(F50,'he so'!C:D,2,0)=0,0,VLOOKUP(F50,'he so'!C:D,2,0))</f>
        <v>0.05</v>
      </c>
      <c r="H50" s="488">
        <f t="shared" si="3"/>
        <v>3745000</v>
      </c>
      <c r="I50" s="487" t="s">
        <v>667</v>
      </c>
      <c r="J50" s="487">
        <v>1</v>
      </c>
      <c r="K50" s="493">
        <v>3745000</v>
      </c>
      <c r="L50" s="488">
        <f>VLOOKUP(I50,'thang luong moi'!B:I,'BANG LUONG 1'!J50+1,0)</f>
        <v>4213125</v>
      </c>
      <c r="M50" s="489">
        <f>VLOOKUP(C50,CC!$C$5:$AJ$67,34,0)</f>
        <v>24</v>
      </c>
      <c r="N50" s="488">
        <f>L50/$N$2*M50</f>
        <v>3889038.461538461</v>
      </c>
      <c r="O50" s="488">
        <f>VLOOKUP(C50,CC!$C$5:$AM$67,36,0)</f>
        <v>2</v>
      </c>
      <c r="P50" s="488">
        <f>VLOOKUP(C50,CC!$C$5:$BS$67,69,0)</f>
        <v>0</v>
      </c>
      <c r="Q50" s="488">
        <f>VLOOKUP(C50,CC!$C$5:$BT$67,70,0)</f>
        <v>16</v>
      </c>
      <c r="R50" s="489">
        <f>VLOOKUP(C50,CC!$C$5:$AM$67,37,0)</f>
        <v>1</v>
      </c>
      <c r="S50" s="489">
        <f>VLOOKUP(C50,CC!$C$5:$AM$67,35,0)</f>
        <v>0</v>
      </c>
      <c r="T50" s="488">
        <f>((L50/$N$2)*M50)+(O50*(L50/$N$2))+((P50/8)*1.5*(L50/$N$2))+((Q50/8)*2*L50/$N$2)+(S50*3*(L50/$N$2)+(L50/$N$2)*R50)</f>
        <v>5023341.3461538451</v>
      </c>
      <c r="U50" s="488">
        <f>VLOOKUP(C50,'Công tổng'!$C$53:$BY$94,75,0)-N50</f>
        <v>810961.53846153896</v>
      </c>
      <c r="V50" s="666">
        <f>+L50*G50</f>
        <v>210656.25</v>
      </c>
      <c r="W50" s="488">
        <f>(L50)*G50</f>
        <v>210656.25</v>
      </c>
      <c r="X50" s="666">
        <f>(100%-VLOOKUP(C50,'chuyên cần'!$C$7:$AP$52,40,FALSE))*$X$4</f>
        <v>300000</v>
      </c>
      <c r="Y50" s="488"/>
      <c r="Z50" s="488">
        <f t="shared" si="89"/>
        <v>510656.25</v>
      </c>
      <c r="AA50" s="490">
        <f>Z50+U50+T50</f>
        <v>6344959.134615384</v>
      </c>
      <c r="AB50" s="669">
        <f>VLOOKUP(C50,'ung luong'!C117:F158,4,0)</f>
        <v>3000000</v>
      </c>
      <c r="AC50" s="490">
        <f>AD50*$AC$3</f>
        <v>480585</v>
      </c>
      <c r="AD50" s="490">
        <v>4577000</v>
      </c>
      <c r="AE50" s="669">
        <v>100000</v>
      </c>
      <c r="AF50" s="490">
        <f>AA50-AB50-AC50</f>
        <v>2864374.134615384</v>
      </c>
      <c r="AG50" s="669">
        <f>VLOOKUP(C50,CC!$C$5:$BV$50,72,0)*22000</f>
        <v>0</v>
      </c>
      <c r="AH50" s="669">
        <f>VLOOKUP(C50,CC!$C$5:$BW$50,73,0)*22000</f>
        <v>0</v>
      </c>
      <c r="AI50" s="490"/>
      <c r="AJ50" s="669">
        <f t="shared" ref="AJ50:AJ51" si="90">ROUND(AF50,-3)+AI50+AG50+AH50+AE50</f>
        <v>2964000</v>
      </c>
      <c r="AK50" s="669">
        <f t="shared" si="39"/>
        <v>2964000</v>
      </c>
      <c r="AL50" s="978"/>
      <c r="AM50" s="978"/>
      <c r="AN50" s="517"/>
      <c r="AO50" s="517"/>
      <c r="AP50" s="517"/>
      <c r="AQ50" s="517"/>
      <c r="AR50" s="517"/>
      <c r="AS50" s="517"/>
      <c r="AT50" s="517"/>
      <c r="AU50" s="517"/>
      <c r="AV50" s="517"/>
      <c r="AW50" s="517"/>
      <c r="AX50" s="517"/>
      <c r="AY50" s="517"/>
      <c r="AZ50" s="517"/>
      <c r="BA50" s="517"/>
      <c r="BB50" s="517"/>
      <c r="BC50" s="517"/>
      <c r="BD50" s="517"/>
      <c r="BE50" s="517"/>
      <c r="BF50" s="517"/>
      <c r="BG50" s="517"/>
      <c r="BH50" s="517"/>
      <c r="BI50" s="517"/>
      <c r="BJ50" s="517"/>
      <c r="BK50" s="517"/>
      <c r="BL50" s="517"/>
      <c r="BM50" s="517"/>
      <c r="BN50" s="517"/>
      <c r="BO50" s="517"/>
      <c r="BP50" s="517"/>
      <c r="BQ50" s="517"/>
      <c r="BR50" s="517"/>
      <c r="BS50" s="517"/>
      <c r="BT50" s="517"/>
      <c r="BU50" s="517"/>
      <c r="BV50" s="517"/>
      <c r="BW50" s="517"/>
      <c r="BX50" s="517"/>
      <c r="BY50" s="517"/>
      <c r="BZ50" s="517"/>
      <c r="CA50" s="517"/>
      <c r="CB50" s="517"/>
      <c r="CC50" s="517"/>
      <c r="CD50" s="517"/>
      <c r="CE50" s="517"/>
      <c r="CF50" s="517"/>
      <c r="CG50" s="517"/>
      <c r="CH50" s="517"/>
      <c r="CI50" s="517"/>
      <c r="CJ50" s="517"/>
      <c r="CK50" s="517"/>
      <c r="CL50" s="517"/>
      <c r="CM50" s="517"/>
      <c r="CN50" s="517"/>
      <c r="CO50" s="517"/>
      <c r="CP50" s="517"/>
      <c r="CQ50" s="517"/>
      <c r="CR50" s="517"/>
      <c r="CS50" s="517"/>
      <c r="CT50" s="517"/>
      <c r="CU50" s="517"/>
      <c r="CV50" s="517"/>
      <c r="CW50" s="517"/>
      <c r="CX50" s="517"/>
      <c r="CY50" s="517"/>
      <c r="CZ50" s="517"/>
      <c r="DA50" s="517"/>
      <c r="DB50" s="517"/>
      <c r="DC50" s="517"/>
      <c r="DD50" s="517"/>
      <c r="DE50" s="517"/>
      <c r="DF50" s="517"/>
      <c r="DG50" s="517"/>
      <c r="DH50" s="517"/>
      <c r="DI50" s="517"/>
      <c r="DJ50" s="517"/>
      <c r="DK50" s="517"/>
      <c r="DL50" s="517"/>
      <c r="DM50" s="517"/>
      <c r="DN50" s="517"/>
      <c r="DO50" s="517"/>
      <c r="DP50" s="517"/>
      <c r="DQ50" s="517"/>
      <c r="DR50" s="517"/>
      <c r="DS50" s="517"/>
      <c r="DT50" s="517"/>
      <c r="DU50" s="517"/>
      <c r="DV50" s="517"/>
      <c r="DW50" s="517"/>
      <c r="DX50" s="517"/>
      <c r="DY50" s="517"/>
      <c r="DZ50" s="517"/>
    </row>
    <row r="51" spans="1:16318" s="518" customFormat="1" ht="18.75" customHeight="1" x14ac:dyDescent="0.2">
      <c r="A51" s="663">
        <v>42</v>
      </c>
      <c r="B51" s="436" t="s">
        <v>161</v>
      </c>
      <c r="C51" s="436" t="s">
        <v>589</v>
      </c>
      <c r="D51" s="436" t="s">
        <v>207</v>
      </c>
      <c r="E51" s="486">
        <v>42413</v>
      </c>
      <c r="F51" s="491">
        <f>IF(IF(E51="",0,ROUND(($P$3-E51)/30,0))&lt;0,0,IF(E51="",0,ROUND(($P$3-E51)/30,0)))</f>
        <v>44</v>
      </c>
      <c r="G51" s="492">
        <f>IF(VLOOKUP(F51,'he so'!C:D,2,0)=0,0,VLOOKUP(F51,'he so'!C:D,2,0))</f>
        <v>0.03</v>
      </c>
      <c r="H51" s="488">
        <f t="shared" si="3"/>
        <v>3745000</v>
      </c>
      <c r="I51" s="487" t="s">
        <v>667</v>
      </c>
      <c r="J51" s="487">
        <v>1</v>
      </c>
      <c r="K51" s="493">
        <v>3745000</v>
      </c>
      <c r="L51" s="488">
        <f>VLOOKUP(I51,'thang luong moi'!B:I,'BANG LUONG 1'!J51+1,0)</f>
        <v>4213125</v>
      </c>
      <c r="M51" s="489">
        <f>VLOOKUP(C51,CC!$C$5:$AJ$67,34,0)</f>
        <v>26</v>
      </c>
      <c r="N51" s="488">
        <f>L51/$N$2*M51</f>
        <v>4213125</v>
      </c>
      <c r="O51" s="488">
        <f>VLOOKUP(C51,CC!$C$5:$AM$67,36,0)</f>
        <v>0</v>
      </c>
      <c r="P51" s="488">
        <f>VLOOKUP(C51,CC!$C$5:$BS$67,69,0)</f>
        <v>0</v>
      </c>
      <c r="Q51" s="488">
        <f>VLOOKUP(C51,CC!$C$5:$BT$67,70,0)</f>
        <v>20</v>
      </c>
      <c r="R51" s="488">
        <f>VLOOKUP(C51,CC!$C$5:$AM$67,37,0)</f>
        <v>0</v>
      </c>
      <c r="S51" s="488">
        <f>VLOOKUP(C51,CC!$C$5:$AM$67,35,0)</f>
        <v>1</v>
      </c>
      <c r="T51" s="488">
        <f>((L51/$N$2)*M51)+(O51*(L51/$N$2))+((P51/8)*1.5*(L51/$N$2))+((Q51/8)*2*L51/$N$2)+(S51*3*(L51/$N$2)+(L51/$N$2)*R51)</f>
        <v>5509471.153846154</v>
      </c>
      <c r="U51" s="488">
        <f>VLOOKUP(C51,'Công tổng'!$C$53:$BY$94,75,0)-N51</f>
        <v>1119567.307692308</v>
      </c>
      <c r="V51" s="666">
        <f>+L51*G51</f>
        <v>126393.75</v>
      </c>
      <c r="W51" s="488">
        <f>(L51)*G51</f>
        <v>126393.75</v>
      </c>
      <c r="X51" s="666">
        <f>(100%-VLOOKUP(C51,'chuyên cần'!$C$7:$AP$52,40,FALSE))*$X$4</f>
        <v>300000</v>
      </c>
      <c r="Y51" s="488"/>
      <c r="Z51" s="488">
        <f t="shared" si="89"/>
        <v>426393.75</v>
      </c>
      <c r="AA51" s="490">
        <f>Z51+U51+T51</f>
        <v>7055432.211538462</v>
      </c>
      <c r="AB51" s="669">
        <f>VLOOKUP(C51,'ung luong'!C118:F159,4,0)</f>
        <v>3000000</v>
      </c>
      <c r="AC51" s="490">
        <f>AD51*$AC$3</f>
        <v>480585</v>
      </c>
      <c r="AD51" s="490">
        <v>4577000</v>
      </c>
      <c r="AE51" s="669">
        <v>100000</v>
      </c>
      <c r="AF51" s="490">
        <f>AA51-AB51-AC51</f>
        <v>3574847.211538462</v>
      </c>
      <c r="AG51" s="669">
        <f>VLOOKUP(C51,CC!$C$5:$BV$50,72,0)*22000</f>
        <v>0</v>
      </c>
      <c r="AH51" s="669">
        <f>VLOOKUP(C51,CC!$C$5:$BW$50,73,0)*22000</f>
        <v>0</v>
      </c>
      <c r="AI51" s="490"/>
      <c r="AJ51" s="669">
        <f t="shared" si="90"/>
        <v>3675000</v>
      </c>
      <c r="AK51" s="669">
        <f t="shared" si="39"/>
        <v>3675000</v>
      </c>
      <c r="AL51" s="978"/>
      <c r="AM51" s="978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17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17"/>
      <c r="BV51" s="517"/>
      <c r="BW51" s="517"/>
      <c r="BX51" s="517"/>
      <c r="BY51" s="517"/>
      <c r="BZ51" s="517"/>
      <c r="CA51" s="517"/>
      <c r="CB51" s="517"/>
      <c r="CC51" s="517"/>
      <c r="CD51" s="517"/>
      <c r="CE51" s="517"/>
      <c r="CF51" s="517"/>
      <c r="CG51" s="517"/>
      <c r="CH51" s="517"/>
      <c r="CI51" s="517"/>
      <c r="CJ51" s="517"/>
      <c r="CK51" s="517"/>
      <c r="CL51" s="517"/>
      <c r="CM51" s="517"/>
      <c r="CN51" s="517"/>
      <c r="CO51" s="517"/>
      <c r="CP51" s="517"/>
      <c r="CQ51" s="517"/>
      <c r="CR51" s="517"/>
      <c r="CS51" s="517"/>
      <c r="CT51" s="517"/>
      <c r="CU51" s="517"/>
      <c r="CV51" s="517"/>
      <c r="CW51" s="517"/>
      <c r="CX51" s="517"/>
      <c r="CY51" s="517"/>
      <c r="CZ51" s="517"/>
      <c r="DA51" s="517"/>
      <c r="DB51" s="517"/>
      <c r="DC51" s="517"/>
      <c r="DD51" s="517"/>
      <c r="DE51" s="517"/>
      <c r="DF51" s="517"/>
      <c r="DG51" s="517"/>
      <c r="DH51" s="517"/>
      <c r="DI51" s="517"/>
      <c r="DJ51" s="517"/>
      <c r="DK51" s="517"/>
      <c r="DL51" s="517"/>
      <c r="DM51" s="517"/>
      <c r="DN51" s="517"/>
      <c r="DO51" s="517"/>
      <c r="DP51" s="517"/>
      <c r="DQ51" s="517"/>
      <c r="DR51" s="517"/>
      <c r="DS51" s="517"/>
      <c r="DT51" s="517"/>
      <c r="DU51" s="517"/>
      <c r="DV51" s="517"/>
      <c r="DW51" s="517"/>
      <c r="DX51" s="517"/>
      <c r="DY51" s="517"/>
      <c r="DZ51" s="517"/>
    </row>
    <row r="52" spans="1:16318" s="518" customFormat="1" ht="21" customHeight="1" x14ac:dyDescent="0.2">
      <c r="A52" s="663">
        <v>43</v>
      </c>
      <c r="B52" s="663" t="s">
        <v>165</v>
      </c>
      <c r="C52" s="436" t="s">
        <v>888</v>
      </c>
      <c r="D52" s="436" t="s">
        <v>776</v>
      </c>
      <c r="E52" s="486">
        <v>43626</v>
      </c>
      <c r="F52" s="491">
        <f>IF(IF(E52="",0,ROUND(($P$3-E52)/30,0))&lt;0,0,IF(E52="",0,ROUND(($P$3-E52)/30,0)))</f>
        <v>4</v>
      </c>
      <c r="G52" s="492">
        <f>IF(VLOOKUP(F52,'he so'!C:D,2,0)=0,0,VLOOKUP(F52,'he so'!C:D,2,0))</f>
        <v>0</v>
      </c>
      <c r="H52" s="488">
        <f t="shared" si="3"/>
        <v>3745000</v>
      </c>
      <c r="I52" s="487" t="s">
        <v>667</v>
      </c>
      <c r="J52" s="487">
        <v>1</v>
      </c>
      <c r="K52" s="493">
        <v>3745000</v>
      </c>
      <c r="L52" s="488">
        <f>VLOOKUP(I52,'thang luong moi'!B:I,'BANG LUONG 1'!J52+1,0)</f>
        <v>4213125</v>
      </c>
      <c r="M52" s="489">
        <f>VLOOKUP(C52,CC!$C$5:$AJ$67,34,0)</f>
        <v>26</v>
      </c>
      <c r="N52" s="488">
        <f>L52/$N$2*M52</f>
        <v>4213125</v>
      </c>
      <c r="O52" s="488">
        <f>VLOOKUP(C52,CC!$C$5:$AM$67,36,0)</f>
        <v>0</v>
      </c>
      <c r="P52" s="488">
        <f>VLOOKUP(C52,CC!$C$5:$BS$67,69,0)</f>
        <v>0</v>
      </c>
      <c r="Q52" s="488">
        <f>VLOOKUP(C52,CC!$C$5:$BT$67,70,0)</f>
        <v>24</v>
      </c>
      <c r="R52" s="488">
        <f>VLOOKUP(C52,CC!$C$5:$AM$67,37,0)</f>
        <v>0</v>
      </c>
      <c r="S52" s="488">
        <f>VLOOKUP(C52,CC!$C$5:$AM$67,35,0)</f>
        <v>1</v>
      </c>
      <c r="T52" s="488">
        <f>((L52/$N$2)*M52)+(O52*(L52/$N$2))+((P52/8)*1.5*(L52/$N$2))+((Q52/8)*2*L52/$N$2)+(S52*3*(L52/$N$2)+(L52/$N$2)*R52)</f>
        <v>5671514.423076923</v>
      </c>
      <c r="U52" s="488">
        <f>VLOOKUP(C52,'Công tổng'!$C$53:$BY$95,75,0)-N52</f>
        <v>1209951.9230769239</v>
      </c>
      <c r="V52" s="666">
        <f>+L52*G52</f>
        <v>0</v>
      </c>
      <c r="W52" s="488">
        <f>(L52)*G52</f>
        <v>0</v>
      </c>
      <c r="X52" s="666">
        <f>(100%-VLOOKUP(C52,'chuyên cần'!$C$7:$AP$52,40,FALSE))*$X$4</f>
        <v>300000</v>
      </c>
      <c r="Y52" s="488"/>
      <c r="Z52" s="488">
        <f t="shared" si="89"/>
        <v>300000</v>
      </c>
      <c r="AA52" s="490">
        <f>Z52+U52+T52</f>
        <v>7181466.3461538469</v>
      </c>
      <c r="AB52" s="669">
        <f>VLOOKUP(C52,'ung luong'!C119:F160,4,0)</f>
        <v>0</v>
      </c>
      <c r="AC52" s="490">
        <f>AD52*$AC$3</f>
        <v>0</v>
      </c>
      <c r="AD52" s="490"/>
      <c r="AE52" s="669">
        <v>100000</v>
      </c>
      <c r="AF52" s="490">
        <f>AA52-AB52-AC52</f>
        <v>7181466.3461538469</v>
      </c>
      <c r="AG52" s="669">
        <f>VLOOKUP(C52,CC!$C$5:$BV$53,72,0)*22000</f>
        <v>0</v>
      </c>
      <c r="AH52" s="669">
        <f>VLOOKUP(C52,CC!$C$5:$BW$53,73,0)*22000</f>
        <v>0</v>
      </c>
      <c r="AI52" s="490"/>
      <c r="AJ52" s="669">
        <f t="shared" ref="AJ52" si="91">ROUND(AF52,-3)+AI52+AG52+AH52+AE52</f>
        <v>7281000</v>
      </c>
      <c r="AK52" s="669">
        <f t="shared" ref="AK52" si="92">ROUND(AF52,-3)+AE52+AH52</f>
        <v>7281000</v>
      </c>
      <c r="AL52" s="978"/>
      <c r="AM52" s="978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17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17"/>
      <c r="BV52" s="517"/>
      <c r="BW52" s="517"/>
      <c r="BX52" s="517"/>
      <c r="BY52" s="517"/>
      <c r="BZ52" s="517"/>
      <c r="CA52" s="517"/>
      <c r="CB52" s="517"/>
      <c r="CC52" s="517"/>
      <c r="CD52" s="517"/>
      <c r="CE52" s="517"/>
      <c r="CF52" s="517"/>
      <c r="CG52" s="517"/>
      <c r="CH52" s="517"/>
      <c r="CI52" s="517"/>
      <c r="CJ52" s="517"/>
      <c r="CK52" s="517"/>
      <c r="CL52" s="517"/>
      <c r="CM52" s="517"/>
      <c r="CN52" s="517"/>
      <c r="CO52" s="517"/>
      <c r="CP52" s="517"/>
      <c r="CQ52" s="517"/>
      <c r="CR52" s="517"/>
      <c r="CS52" s="517"/>
      <c r="CT52" s="517"/>
      <c r="CU52" s="517"/>
      <c r="CV52" s="517"/>
      <c r="CW52" s="517"/>
      <c r="CX52" s="517"/>
      <c r="CY52" s="517"/>
      <c r="CZ52" s="517"/>
      <c r="DA52" s="517"/>
      <c r="DB52" s="517"/>
      <c r="DC52" s="517"/>
      <c r="DD52" s="517"/>
      <c r="DE52" s="517"/>
      <c r="DF52" s="517"/>
      <c r="DG52" s="517"/>
      <c r="DH52" s="517"/>
      <c r="DI52" s="517"/>
      <c r="DJ52" s="517"/>
      <c r="DK52" s="517"/>
      <c r="DL52" s="517"/>
      <c r="DM52" s="517"/>
      <c r="DN52" s="517"/>
      <c r="DO52" s="517"/>
      <c r="DP52" s="517"/>
      <c r="DQ52" s="517"/>
      <c r="DR52" s="517"/>
      <c r="DS52" s="517"/>
      <c r="DT52" s="517"/>
      <c r="DU52" s="517"/>
      <c r="DV52" s="517"/>
      <c r="DW52" s="517"/>
      <c r="DX52" s="517"/>
      <c r="DY52" s="517"/>
      <c r="DZ52" s="517"/>
    </row>
    <row r="53" spans="1:16318" s="518" customFormat="1" ht="21" customHeight="1" x14ac:dyDescent="0.2">
      <c r="A53" s="663">
        <v>44</v>
      </c>
      <c r="B53" s="663" t="s">
        <v>167</v>
      </c>
      <c r="C53" s="436" t="s">
        <v>897</v>
      </c>
      <c r="D53" s="436" t="s">
        <v>776</v>
      </c>
      <c r="E53" s="486">
        <v>43668</v>
      </c>
      <c r="F53" s="491">
        <f>IF(IF(E53="",0,ROUND(($P$3-E53)/30,0))&lt;0,0,IF(E53="",0,ROUND(($P$3-E53)/30,0)))</f>
        <v>2</v>
      </c>
      <c r="G53" s="492">
        <f>IF(VLOOKUP(F53,'he so'!C:D,2,0)=0,0,VLOOKUP(F53,'he so'!C:D,2,0))</f>
        <v>0</v>
      </c>
      <c r="H53" s="488">
        <f t="shared" si="3"/>
        <v>3745000</v>
      </c>
      <c r="I53" s="487" t="s">
        <v>667</v>
      </c>
      <c r="J53" s="487">
        <v>1</v>
      </c>
      <c r="K53" s="493">
        <v>3745000</v>
      </c>
      <c r="L53" s="488">
        <f>VLOOKUP(I53,'thang luong moi'!B:I,'BANG LUONG 1'!J53+1,0)</f>
        <v>4213125</v>
      </c>
      <c r="M53" s="489">
        <f>VLOOKUP(C53,CC!$C$5:$AJ$67,34,0)</f>
        <v>9.5</v>
      </c>
      <c r="N53" s="488">
        <f>L53/$N$2*M53</f>
        <v>1539411.0576923075</v>
      </c>
      <c r="O53" s="488">
        <f>VLOOKUP(C53,CC!$C$5:$AM$67,36,0)</f>
        <v>0</v>
      </c>
      <c r="P53" s="488">
        <f>VLOOKUP(C53,CC!$C$5:$BS$67,69,0)</f>
        <v>0</v>
      </c>
      <c r="Q53" s="488">
        <f>VLOOKUP(C53,CC!$C$5:$BT$67,70,0)</f>
        <v>0</v>
      </c>
      <c r="R53" s="488">
        <f>VLOOKUP(C53,CC!$C$5:$AM$67,37,0)</f>
        <v>0</v>
      </c>
      <c r="S53" s="488">
        <f>VLOOKUP(C53,CC!$C$5:$AM$67,35,0)</f>
        <v>1</v>
      </c>
      <c r="T53" s="488">
        <f>((L53/$N$2)*M53)+(O53*(L53/$N$2))+((P53/8)*1.5*(L53/$N$2))+((Q53/8)*2*L53/$N$2)+(S53*3*(L53/$N$2)+(L53/$N$2)*R53)</f>
        <v>2025540.865384615</v>
      </c>
      <c r="U53" s="488">
        <f>VLOOKUP(C53,'Công tổng'!$C$53:$BY$96,75,0)-N53</f>
        <v>4490288.942307692</v>
      </c>
      <c r="V53" s="666">
        <f>+L53*G53</f>
        <v>0</v>
      </c>
      <c r="W53" s="488">
        <f>(L53)*G53</f>
        <v>0</v>
      </c>
      <c r="X53" s="666">
        <f>(100%-VLOOKUP(C53,'chuyên cần'!$C$7:$AP$53,40,FALSE))*$X$4</f>
        <v>0</v>
      </c>
      <c r="Y53" s="488"/>
      <c r="Z53" s="488">
        <f t="shared" si="89"/>
        <v>0</v>
      </c>
      <c r="AA53" s="490">
        <f>Z53+U53+T53</f>
        <v>6515829.807692307</v>
      </c>
      <c r="AB53" s="669">
        <f>VLOOKUP(C53,'ung luong'!C120:F161,4,0)</f>
        <v>3000000</v>
      </c>
      <c r="AC53" s="490">
        <f>AD53*$AC$3</f>
        <v>0</v>
      </c>
      <c r="AD53" s="490"/>
      <c r="AE53" s="669">
        <v>100000</v>
      </c>
      <c r="AF53" s="490">
        <f>AA53-AB53-AC53</f>
        <v>3515829.807692307</v>
      </c>
      <c r="AG53" s="669">
        <f>VLOOKUP(C53,CC!$C$5:$BV$53,72,0)*22000</f>
        <v>0</v>
      </c>
      <c r="AH53" s="669">
        <f>VLOOKUP(C53,CC!$C$5:$BW$53,73,0)*22000</f>
        <v>0</v>
      </c>
      <c r="AI53" s="490"/>
      <c r="AJ53" s="669">
        <f t="shared" ref="AJ53" si="93">ROUND(AF53,-3)+AI53+AG53+AH53+AE53</f>
        <v>3616000</v>
      </c>
      <c r="AK53" s="669">
        <f t="shared" ref="AK53" si="94">ROUND(AF53,-3)+AE53+AH53</f>
        <v>3616000</v>
      </c>
      <c r="AL53" s="978"/>
      <c r="AM53" s="978"/>
      <c r="AN53" s="517"/>
      <c r="AO53" s="517"/>
      <c r="AP53" s="517"/>
      <c r="AQ53" s="517"/>
      <c r="AR53" s="517"/>
      <c r="AS53" s="517"/>
      <c r="AT53" s="517"/>
      <c r="AU53" s="517"/>
      <c r="AV53" s="517"/>
      <c r="AW53" s="517"/>
      <c r="AX53" s="517"/>
      <c r="AY53" s="517"/>
      <c r="AZ53" s="517"/>
      <c r="BA53" s="517"/>
      <c r="BB53" s="517"/>
      <c r="BC53" s="517"/>
      <c r="BD53" s="517"/>
      <c r="BE53" s="517"/>
      <c r="BF53" s="517"/>
      <c r="BG53" s="517"/>
      <c r="BH53" s="517"/>
      <c r="BI53" s="517"/>
      <c r="BJ53" s="517"/>
      <c r="BK53" s="517"/>
      <c r="BL53" s="517"/>
      <c r="BM53" s="517"/>
      <c r="BN53" s="517"/>
      <c r="BO53" s="517"/>
      <c r="BP53" s="517"/>
      <c r="BQ53" s="517"/>
      <c r="BR53" s="517"/>
      <c r="BS53" s="517"/>
      <c r="BT53" s="517"/>
      <c r="BU53" s="517"/>
      <c r="BV53" s="517"/>
      <c r="BW53" s="517"/>
      <c r="BX53" s="517"/>
      <c r="BY53" s="517"/>
      <c r="BZ53" s="517"/>
      <c r="CA53" s="517"/>
      <c r="CB53" s="517"/>
      <c r="CC53" s="517"/>
      <c r="CD53" s="517"/>
      <c r="CE53" s="517"/>
      <c r="CF53" s="517"/>
      <c r="CG53" s="517"/>
      <c r="CH53" s="517"/>
      <c r="CI53" s="517"/>
      <c r="CJ53" s="517"/>
      <c r="CK53" s="517"/>
      <c r="CL53" s="517"/>
      <c r="CM53" s="517"/>
      <c r="CN53" s="517"/>
      <c r="CO53" s="517"/>
      <c r="CP53" s="517"/>
      <c r="CQ53" s="517"/>
      <c r="CR53" s="517"/>
      <c r="CS53" s="517"/>
      <c r="CT53" s="517"/>
      <c r="CU53" s="517"/>
      <c r="CV53" s="517"/>
      <c r="CW53" s="517"/>
      <c r="CX53" s="517"/>
      <c r="CY53" s="517"/>
      <c r="CZ53" s="517"/>
      <c r="DA53" s="517"/>
      <c r="DB53" s="517"/>
      <c r="DC53" s="517"/>
      <c r="DD53" s="517"/>
      <c r="DE53" s="517"/>
      <c r="DF53" s="517"/>
      <c r="DG53" s="517"/>
      <c r="DH53" s="517"/>
      <c r="DI53" s="517"/>
      <c r="DJ53" s="517"/>
      <c r="DK53" s="517"/>
      <c r="DL53" s="517"/>
      <c r="DM53" s="517"/>
      <c r="DN53" s="517"/>
      <c r="DO53" s="517"/>
      <c r="DP53" s="517"/>
      <c r="DQ53" s="517"/>
      <c r="DR53" s="517"/>
      <c r="DS53" s="517"/>
      <c r="DT53" s="517"/>
      <c r="DU53" s="517"/>
      <c r="DV53" s="517"/>
      <c r="DW53" s="517"/>
      <c r="DX53" s="517"/>
      <c r="DY53" s="517"/>
      <c r="DZ53" s="517"/>
    </row>
    <row r="54" spans="1:16318" s="220" customFormat="1" ht="29.25" customHeight="1" x14ac:dyDescent="0.2">
      <c r="A54" s="437"/>
      <c r="B54" s="437"/>
      <c r="C54" s="437" t="s">
        <v>543</v>
      </c>
      <c r="D54" s="437"/>
      <c r="E54" s="438"/>
      <c r="F54" s="439"/>
      <c r="G54" s="440"/>
      <c r="H54" s="441"/>
      <c r="I54" s="442"/>
      <c r="J54" s="442"/>
      <c r="K54" s="433"/>
      <c r="L54" s="441"/>
      <c r="M54" s="443"/>
      <c r="N54" s="441"/>
      <c r="O54" s="441"/>
      <c r="P54" s="441"/>
      <c r="Q54" s="441"/>
      <c r="R54" s="441"/>
      <c r="S54" s="441"/>
      <c r="T54" s="441"/>
      <c r="U54" s="441"/>
      <c r="V54" s="441"/>
      <c r="W54" s="444"/>
      <c r="X54" s="441"/>
      <c r="Y54" s="441">
        <v>0</v>
      </c>
      <c r="Z54" s="445">
        <f t="shared" si="89"/>
        <v>0</v>
      </c>
      <c r="AA54" s="441">
        <f>AA48+AA39+AA19+AA6</f>
        <v>431477286.90414047</v>
      </c>
      <c r="AB54" s="441">
        <f t="shared" ref="AB54:AJ54" si="95">AB48+AB39+AB19+AB6</f>
        <v>114500000</v>
      </c>
      <c r="AC54" s="441">
        <f t="shared" si="95"/>
        <v>15914220</v>
      </c>
      <c r="AD54" s="441">
        <f t="shared" si="95"/>
        <v>151564000</v>
      </c>
      <c r="AE54" s="441">
        <f>AE48+AE39+AE19+AE6</f>
        <v>4300000</v>
      </c>
      <c r="AF54" s="441">
        <f t="shared" si="95"/>
        <v>301063066.90414047</v>
      </c>
      <c r="AG54" s="441">
        <f t="shared" si="95"/>
        <v>360000</v>
      </c>
      <c r="AH54" s="441">
        <f t="shared" si="95"/>
        <v>5280000</v>
      </c>
      <c r="AI54" s="441">
        <f t="shared" si="95"/>
        <v>0</v>
      </c>
      <c r="AJ54" s="441">
        <f t="shared" si="95"/>
        <v>311001000</v>
      </c>
      <c r="AK54" s="441">
        <f t="shared" ref="AK54" si="96">AK48+AK39+AK19+AK6</f>
        <v>278038000</v>
      </c>
      <c r="AL54" s="230"/>
      <c r="AM54" s="23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</row>
    <row r="55" spans="1:16318" ht="25.5" customHeight="1" x14ac:dyDescent="0.2">
      <c r="A55" s="496"/>
      <c r="B55" s="496"/>
      <c r="C55" s="496"/>
      <c r="D55" s="496"/>
      <c r="E55" s="497"/>
      <c r="F55" s="498"/>
      <c r="G55" s="499"/>
      <c r="H55" s="500"/>
      <c r="I55" s="501"/>
      <c r="J55" s="501"/>
      <c r="K55" s="500"/>
      <c r="L55" s="500"/>
      <c r="M55" s="502"/>
      <c r="N55" s="500"/>
      <c r="O55" s="500"/>
      <c r="P55" s="500"/>
      <c r="Q55" s="500"/>
      <c r="R55" s="500"/>
      <c r="S55" s="500"/>
      <c r="T55" s="500"/>
      <c r="U55" s="500"/>
      <c r="V55" s="500"/>
      <c r="W55" s="503"/>
      <c r="X55" s="500"/>
      <c r="Y55" s="500"/>
      <c r="Z55" s="504"/>
      <c r="AA55" s="505"/>
      <c r="AB55" s="500"/>
      <c r="AC55" s="500"/>
      <c r="AD55" s="500"/>
      <c r="AE55" s="468"/>
      <c r="AF55" s="516"/>
      <c r="AG55" s="500"/>
      <c r="AH55" s="1056"/>
      <c r="AI55" s="1056"/>
      <c r="AJ55" s="659"/>
      <c r="AK55" s="791"/>
      <c r="AL55" s="230"/>
      <c r="AM55" s="23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</row>
    <row r="56" spans="1:16318" x14ac:dyDescent="0.2">
      <c r="A56" s="9"/>
      <c r="B56" s="9"/>
      <c r="C56" s="475"/>
      <c r="D56" s="9"/>
      <c r="E56" s="9"/>
      <c r="F56" s="9"/>
      <c r="G56" s="506"/>
      <c r="H56" s="9"/>
      <c r="I56" s="507"/>
      <c r="J56" s="507"/>
      <c r="K56" s="660"/>
      <c r="L56" s="495"/>
      <c r="M56" s="509"/>
      <c r="N56" s="475"/>
      <c r="O56" s="475"/>
      <c r="P56" s="475"/>
      <c r="Q56" s="475"/>
      <c r="R56" s="475"/>
      <c r="S56" s="475"/>
      <c r="T56" s="475"/>
      <c r="U56" s="495"/>
      <c r="V56" s="495"/>
      <c r="W56" s="495"/>
      <c r="X56" s="475"/>
      <c r="Y56" s="475"/>
      <c r="Z56" s="510"/>
      <c r="AA56" s="511"/>
      <c r="AB56" s="500"/>
      <c r="AC56" s="475"/>
      <c r="AD56" s="475"/>
      <c r="AE56" s="475"/>
      <c r="AF56" s="475"/>
      <c r="AG56" s="495"/>
      <c r="AH56" s="495"/>
      <c r="AI56" s="475"/>
      <c r="AL56" s="475"/>
    </row>
    <row r="57" spans="1:16318" ht="15" customHeight="1" x14ac:dyDescent="0.2">
      <c r="A57" s="9"/>
      <c r="B57" s="1057" t="s">
        <v>703</v>
      </c>
      <c r="C57" s="1057"/>
      <c r="D57" s="9"/>
      <c r="E57" s="507"/>
      <c r="I57" s="475"/>
      <c r="J57" s="475"/>
      <c r="K57" s="475"/>
      <c r="L57" s="475"/>
      <c r="M57" s="1058" t="s">
        <v>824</v>
      </c>
      <c r="N57" s="1058"/>
      <c r="O57" s="1058"/>
      <c r="P57" s="495"/>
      <c r="T57" s="495"/>
      <c r="U57" s="495"/>
      <c r="V57" s="495"/>
      <c r="W57" s="475"/>
      <c r="X57" s="475"/>
      <c r="Y57" s="475"/>
      <c r="Z57" s="475"/>
      <c r="AA57" s="475"/>
      <c r="AB57" s="783"/>
      <c r="AC57" s="1061" t="s">
        <v>564</v>
      </c>
      <c r="AD57" s="1061"/>
      <c r="AE57" s="1061"/>
      <c r="AF57" s="1061"/>
      <c r="AG57" s="776"/>
      <c r="AH57" s="776"/>
      <c r="AI57" s="513"/>
      <c r="AJ57" s="512"/>
      <c r="AK57" s="824">
        <f>310000000-AJ57</f>
        <v>310000000</v>
      </c>
    </row>
    <row r="58" spans="1:16318" x14ac:dyDescent="0.2">
      <c r="A58" s="9"/>
      <c r="B58" s="514"/>
      <c r="C58" s="476"/>
      <c r="D58" s="9"/>
      <c r="E58" s="507"/>
      <c r="I58" s="475"/>
      <c r="J58" s="475"/>
      <c r="K58" s="475"/>
      <c r="L58" s="475"/>
      <c r="M58" s="515"/>
      <c r="N58" s="476"/>
      <c r="O58" s="476"/>
      <c r="P58" s="495"/>
      <c r="V58" s="495"/>
      <c r="W58" s="220"/>
      <c r="X58" s="515" t="s">
        <v>823</v>
      </c>
      <c r="Y58" s="495"/>
      <c r="Z58" s="475"/>
      <c r="AA58" s="475"/>
      <c r="AB58" s="783"/>
      <c r="AC58" s="476"/>
      <c r="AD58" s="514"/>
      <c r="AE58" s="514"/>
      <c r="AF58" s="514"/>
      <c r="AG58" s="782"/>
      <c r="AH58" s="782"/>
      <c r="AI58" s="514"/>
      <c r="AJ58" s="512"/>
    </row>
    <row r="59" spans="1:16318" ht="24.75" customHeight="1" x14ac:dyDescent="0.2">
      <c r="A59" s="9"/>
      <c r="B59" s="514"/>
      <c r="C59" s="476"/>
      <c r="D59" s="9"/>
      <c r="E59" s="507"/>
      <c r="I59" s="475"/>
      <c r="J59" s="475"/>
      <c r="K59" s="475"/>
      <c r="L59" s="475"/>
      <c r="M59" s="515"/>
      <c r="N59" s="476"/>
      <c r="O59" s="476"/>
      <c r="P59" s="495"/>
      <c r="V59" s="495"/>
      <c r="W59" s="220"/>
      <c r="X59" s="495"/>
      <c r="Y59" s="495"/>
      <c r="Z59" s="475"/>
      <c r="AA59" s="475"/>
      <c r="AB59" s="783"/>
      <c r="AC59" s="476"/>
      <c r="AD59" s="514"/>
      <c r="AE59" s="514"/>
      <c r="AF59" s="514"/>
      <c r="AG59" s="782"/>
      <c r="AH59" s="782"/>
      <c r="AI59" s="874" t="e">
        <f>+AK54+'[2] Bang luong'!$AG$47</f>
        <v>#N/A</v>
      </c>
      <c r="AJ59" s="512"/>
      <c r="AK59" s="824"/>
    </row>
    <row r="60" spans="1:16318" x14ac:dyDescent="0.2">
      <c r="A60" s="9"/>
      <c r="B60" s="514"/>
      <c r="C60" s="476"/>
      <c r="D60" s="9"/>
      <c r="E60" s="507"/>
      <c r="I60" s="475"/>
      <c r="J60" s="475"/>
      <c r="K60" s="475"/>
      <c r="L60" s="475"/>
      <c r="M60" s="515"/>
      <c r="N60" s="476"/>
      <c r="O60" s="476"/>
      <c r="P60" s="495"/>
      <c r="V60" s="495"/>
      <c r="W60" s="220"/>
      <c r="X60" s="495"/>
      <c r="Y60" s="495"/>
      <c r="Z60" s="475"/>
      <c r="AA60" s="475"/>
      <c r="AB60" s="783"/>
      <c r="AC60" s="476"/>
      <c r="AD60" s="514"/>
      <c r="AE60" s="514"/>
      <c r="AF60" s="514"/>
      <c r="AG60" s="782"/>
      <c r="AH60" s="782"/>
      <c r="AI60" s="514"/>
      <c r="AJ60" s="9"/>
    </row>
    <row r="61" spans="1:16318" x14ac:dyDescent="0.2">
      <c r="A61" s="9"/>
      <c r="B61" s="514"/>
      <c r="C61" s="476"/>
      <c r="D61" s="9"/>
      <c r="E61" s="507"/>
      <c r="I61" s="475"/>
      <c r="J61" s="475"/>
      <c r="K61" s="475"/>
      <c r="L61" s="475"/>
      <c r="M61" s="515"/>
      <c r="N61" s="476"/>
      <c r="O61" s="476"/>
      <c r="P61" s="495"/>
      <c r="V61" s="495"/>
      <c r="W61" s="220"/>
      <c r="X61" s="495"/>
      <c r="Y61" s="495"/>
      <c r="Z61" s="475"/>
      <c r="AA61" s="475"/>
      <c r="AB61" s="783"/>
      <c r="AC61" s="476"/>
      <c r="AD61" s="514"/>
      <c r="AE61" s="514"/>
      <c r="AF61" s="514"/>
      <c r="AG61" s="782"/>
      <c r="AH61" s="782"/>
      <c r="AI61" s="514"/>
      <c r="AJ61" s="9"/>
    </row>
    <row r="62" spans="1:16318" x14ac:dyDescent="0.2">
      <c r="A62" s="9"/>
      <c r="B62" s="514"/>
      <c r="C62" s="476"/>
      <c r="D62" s="9"/>
      <c r="E62" s="507"/>
      <c r="I62" s="475"/>
      <c r="J62" s="475"/>
      <c r="K62" s="475"/>
      <c r="L62" s="475"/>
      <c r="M62" s="515"/>
      <c r="N62" s="476"/>
      <c r="O62" s="476"/>
      <c r="P62" s="495"/>
      <c r="V62" s="495"/>
      <c r="W62" s="220"/>
      <c r="X62" s="495"/>
      <c r="Y62" s="495"/>
      <c r="Z62" s="475"/>
      <c r="AA62" s="475"/>
      <c r="AB62" s="783"/>
      <c r="AC62" s="476"/>
      <c r="AD62" s="514"/>
      <c r="AE62" s="514"/>
      <c r="AF62" s="514"/>
      <c r="AG62" s="782"/>
      <c r="AH62" s="782"/>
      <c r="AI62" s="514"/>
      <c r="AJ62" s="9"/>
    </row>
    <row r="63" spans="1:16318" ht="15" customHeight="1" x14ac:dyDescent="0.2">
      <c r="A63" s="514"/>
      <c r="B63" s="1058" t="s">
        <v>542</v>
      </c>
      <c r="C63" s="1058"/>
      <c r="D63" s="514"/>
      <c r="E63" s="228"/>
      <c r="I63" s="476"/>
      <c r="J63" s="476"/>
      <c r="K63" s="476"/>
      <c r="L63" s="476"/>
      <c r="M63" s="1058" t="s">
        <v>733</v>
      </c>
      <c r="N63" s="1058"/>
      <c r="O63" s="1058"/>
      <c r="P63" s="515"/>
      <c r="V63" s="1058" t="s">
        <v>825</v>
      </c>
      <c r="W63" s="1058"/>
      <c r="X63" s="1058"/>
      <c r="Y63" s="1058"/>
      <c r="Z63" s="476"/>
      <c r="AA63" s="476"/>
      <c r="AB63" s="784"/>
      <c r="AC63" s="1061" t="s">
        <v>916</v>
      </c>
      <c r="AD63" s="1061"/>
      <c r="AE63" s="1061"/>
      <c r="AF63" s="1061"/>
      <c r="AG63" s="776"/>
      <c r="AH63" s="776"/>
      <c r="AI63" s="513"/>
      <c r="AJ63" s="514"/>
      <c r="AK63" s="10"/>
      <c r="AM63" s="23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/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0"/>
      <c r="BCP63" s="10"/>
      <c r="BCQ63" s="10"/>
      <c r="BCR63" s="10"/>
      <c r="BCS63" s="10"/>
      <c r="BCT63" s="10"/>
      <c r="BCU63" s="10"/>
      <c r="BCV63" s="10"/>
      <c r="BCW63" s="10"/>
      <c r="BCX63" s="10"/>
      <c r="BCY63" s="10"/>
      <c r="BCZ63" s="10"/>
      <c r="BDA63" s="10"/>
      <c r="BDB63" s="10"/>
      <c r="BDC63" s="10"/>
      <c r="BDD63" s="10"/>
      <c r="BDE63" s="10"/>
      <c r="BDF63" s="10"/>
      <c r="BDG63" s="10"/>
      <c r="BDH63" s="10"/>
      <c r="BDI63" s="10"/>
      <c r="BDJ63" s="10"/>
      <c r="BDK63" s="10"/>
      <c r="BDL63" s="10"/>
      <c r="BDM63" s="10"/>
      <c r="BDN63" s="10"/>
      <c r="BDO63" s="10"/>
      <c r="BDP63" s="10"/>
      <c r="BDQ63" s="10"/>
      <c r="BDR63" s="10"/>
      <c r="BDS63" s="10"/>
      <c r="BDT63" s="10"/>
      <c r="BDU63" s="10"/>
      <c r="BDV63" s="10"/>
      <c r="BDW63" s="10"/>
      <c r="BDX63" s="10"/>
      <c r="BDY63" s="10"/>
      <c r="BDZ63" s="10"/>
      <c r="BEA63" s="10"/>
      <c r="BEB63" s="10"/>
      <c r="BEC63" s="10"/>
      <c r="BED63" s="10"/>
      <c r="BEE63" s="10"/>
      <c r="BEF63" s="10"/>
      <c r="BEG63" s="10"/>
      <c r="BEH63" s="10"/>
      <c r="BEI63" s="10"/>
      <c r="BEJ63" s="10"/>
      <c r="BEK63" s="10"/>
      <c r="BEL63" s="10"/>
      <c r="BEM63" s="10"/>
      <c r="BEN63" s="10"/>
      <c r="BEO63" s="10"/>
      <c r="BEP63" s="10"/>
      <c r="BEQ63" s="10"/>
      <c r="BER63" s="10"/>
      <c r="BES63" s="10"/>
      <c r="BET63" s="10"/>
      <c r="BEU63" s="10"/>
      <c r="BEV63" s="10"/>
      <c r="BEW63" s="10"/>
      <c r="BEX63" s="10"/>
      <c r="BEY63" s="10"/>
      <c r="BEZ63" s="10"/>
      <c r="BFA63" s="10"/>
      <c r="BFB63" s="10"/>
      <c r="BFC63" s="10"/>
      <c r="BFD63" s="10"/>
      <c r="BFE63" s="10"/>
      <c r="BFF63" s="10"/>
      <c r="BFG63" s="10"/>
      <c r="BFH63" s="10"/>
      <c r="BFI63" s="10"/>
      <c r="BFJ63" s="10"/>
      <c r="BFK63" s="10"/>
      <c r="BFL63" s="10"/>
      <c r="BFM63" s="10"/>
      <c r="BFN63" s="10"/>
      <c r="BFO63" s="10"/>
      <c r="BFP63" s="10"/>
      <c r="BFQ63" s="10"/>
      <c r="BFR63" s="10"/>
      <c r="BFS63" s="10"/>
      <c r="BFT63" s="10"/>
      <c r="BFU63" s="10"/>
      <c r="BFV63" s="10"/>
      <c r="BFW63" s="10"/>
      <c r="BFX63" s="10"/>
      <c r="BFY63" s="10"/>
      <c r="BFZ63" s="10"/>
      <c r="BGA63" s="10"/>
      <c r="BGB63" s="10"/>
      <c r="BGC63" s="10"/>
      <c r="BGD63" s="10"/>
      <c r="BGE63" s="10"/>
      <c r="BGF63" s="10"/>
      <c r="BGG63" s="10"/>
      <c r="BGH63" s="10"/>
      <c r="BGI63" s="10"/>
      <c r="BGJ63" s="10"/>
      <c r="BGK63" s="10"/>
      <c r="BGL63" s="10"/>
      <c r="BGM63" s="10"/>
      <c r="BGN63" s="10"/>
      <c r="BGO63" s="10"/>
      <c r="BGP63" s="10"/>
      <c r="BGQ63" s="10"/>
      <c r="BGR63" s="10"/>
      <c r="BGS63" s="10"/>
      <c r="BGT63" s="10"/>
      <c r="BGU63" s="10"/>
      <c r="BGV63" s="10"/>
      <c r="BGW63" s="10"/>
      <c r="BGX63" s="10"/>
      <c r="BGY63" s="10"/>
      <c r="BGZ63" s="10"/>
      <c r="BHA63" s="10"/>
      <c r="BHB63" s="10"/>
      <c r="BHC63" s="10"/>
      <c r="BHD63" s="10"/>
      <c r="BHE63" s="10"/>
      <c r="BHF63" s="10"/>
      <c r="BHG63" s="10"/>
      <c r="BHH63" s="10"/>
      <c r="BHI63" s="10"/>
      <c r="BHJ63" s="10"/>
      <c r="BHK63" s="10"/>
      <c r="BHL63" s="10"/>
      <c r="BHM63" s="10"/>
      <c r="BHN63" s="10"/>
      <c r="BHO63" s="10"/>
      <c r="BHP63" s="10"/>
      <c r="BHQ63" s="10"/>
      <c r="BHR63" s="10"/>
      <c r="BHS63" s="10"/>
      <c r="BHT63" s="10"/>
      <c r="BHU63" s="10"/>
      <c r="BHV63" s="10"/>
      <c r="BHW63" s="10"/>
      <c r="BHX63" s="10"/>
      <c r="BHY63" s="10"/>
      <c r="BHZ63" s="10"/>
      <c r="BIA63" s="10"/>
      <c r="BIB63" s="10"/>
      <c r="BIC63" s="10"/>
      <c r="BID63" s="10"/>
      <c r="BIE63" s="10"/>
      <c r="BIF63" s="10"/>
      <c r="BIG63" s="10"/>
      <c r="BIH63" s="10"/>
      <c r="BII63" s="10"/>
      <c r="BIJ63" s="10"/>
      <c r="BIK63" s="10"/>
      <c r="BIL63" s="10"/>
      <c r="BIM63" s="10"/>
      <c r="BIN63" s="10"/>
      <c r="BIO63" s="10"/>
      <c r="BIP63" s="10"/>
      <c r="BIQ63" s="10"/>
      <c r="BIR63" s="10"/>
      <c r="BIS63" s="10"/>
      <c r="BIT63" s="10"/>
      <c r="BIU63" s="10"/>
      <c r="BIV63" s="10"/>
      <c r="BIW63" s="10"/>
      <c r="BIX63" s="10"/>
      <c r="BIY63" s="10"/>
      <c r="BIZ63" s="10"/>
      <c r="BJA63" s="10"/>
      <c r="BJB63" s="10"/>
      <c r="BJC63" s="10"/>
      <c r="BJD63" s="10"/>
      <c r="BJE63" s="10"/>
      <c r="BJF63" s="10"/>
      <c r="BJG63" s="10"/>
      <c r="BJH63" s="10"/>
      <c r="BJI63" s="10"/>
      <c r="BJJ63" s="10"/>
      <c r="BJK63" s="10"/>
      <c r="BJL63" s="10"/>
      <c r="BJM63" s="10"/>
      <c r="BJN63" s="10"/>
      <c r="BJO63" s="10"/>
      <c r="BJP63" s="10"/>
      <c r="BJQ63" s="10"/>
      <c r="BJR63" s="10"/>
      <c r="BJS63" s="10"/>
      <c r="BJT63" s="10"/>
      <c r="BJU63" s="10"/>
      <c r="BJV63" s="10"/>
      <c r="BJW63" s="10"/>
      <c r="BJX63" s="10"/>
      <c r="BJY63" s="10"/>
      <c r="BJZ63" s="10"/>
      <c r="BKA63" s="10"/>
      <c r="BKB63" s="10"/>
      <c r="BKC63" s="10"/>
      <c r="BKD63" s="10"/>
      <c r="BKE63" s="10"/>
      <c r="BKF63" s="10"/>
      <c r="BKG63" s="10"/>
      <c r="BKH63" s="10"/>
      <c r="BKI63" s="10"/>
      <c r="BKJ63" s="10"/>
      <c r="BKK63" s="10"/>
      <c r="BKL63" s="10"/>
      <c r="BKM63" s="10"/>
      <c r="BKN63" s="10"/>
      <c r="BKO63" s="10"/>
      <c r="BKP63" s="10"/>
      <c r="BKQ63" s="10"/>
      <c r="BKR63" s="10"/>
      <c r="BKS63" s="10"/>
      <c r="BKT63" s="10"/>
      <c r="BKU63" s="10"/>
      <c r="BKV63" s="10"/>
      <c r="BKW63" s="10"/>
      <c r="BKX63" s="10"/>
      <c r="BKY63" s="10"/>
      <c r="BKZ63" s="10"/>
      <c r="BLA63" s="10"/>
      <c r="BLB63" s="10"/>
      <c r="BLC63" s="10"/>
      <c r="BLD63" s="10"/>
      <c r="BLE63" s="10"/>
      <c r="BLF63" s="10"/>
      <c r="BLG63" s="10"/>
      <c r="BLH63" s="10"/>
      <c r="BLI63" s="10"/>
      <c r="BLJ63" s="10"/>
      <c r="BLK63" s="10"/>
      <c r="BLL63" s="10"/>
      <c r="BLM63" s="10"/>
      <c r="BLN63" s="10"/>
      <c r="BLO63" s="10"/>
      <c r="BLP63" s="10"/>
      <c r="BLQ63" s="10"/>
      <c r="BLR63" s="10"/>
      <c r="BLS63" s="10"/>
      <c r="BLT63" s="10"/>
      <c r="BLU63" s="10"/>
      <c r="BLV63" s="10"/>
      <c r="BLW63" s="10"/>
      <c r="BLX63" s="10"/>
      <c r="BLY63" s="10"/>
      <c r="BLZ63" s="10"/>
      <c r="BMA63" s="10"/>
      <c r="BMB63" s="10"/>
      <c r="BMC63" s="10"/>
      <c r="BMD63" s="10"/>
      <c r="BME63" s="10"/>
      <c r="BMF63" s="10"/>
      <c r="BMG63" s="10"/>
      <c r="BMH63" s="10"/>
      <c r="BMI63" s="10"/>
      <c r="BMJ63" s="10"/>
      <c r="BMK63" s="10"/>
      <c r="BML63" s="10"/>
      <c r="BMM63" s="10"/>
      <c r="BMN63" s="10"/>
      <c r="BMO63" s="10"/>
      <c r="BMP63" s="10"/>
      <c r="BMQ63" s="10"/>
      <c r="BMR63" s="10"/>
      <c r="BMS63" s="10"/>
      <c r="BMT63" s="10"/>
      <c r="BMU63" s="10"/>
      <c r="BMV63" s="10"/>
      <c r="BMW63" s="10"/>
      <c r="BMX63" s="10"/>
      <c r="BMY63" s="10"/>
      <c r="BMZ63" s="10"/>
      <c r="BNA63" s="10"/>
      <c r="BNB63" s="10"/>
      <c r="BNC63" s="10"/>
      <c r="BND63" s="10"/>
      <c r="BNE63" s="10"/>
      <c r="BNF63" s="10"/>
      <c r="BNG63" s="10"/>
      <c r="BNH63" s="10"/>
      <c r="BNI63" s="10"/>
      <c r="BNJ63" s="10"/>
      <c r="BNK63" s="10"/>
      <c r="BNL63" s="10"/>
      <c r="BNM63" s="10"/>
      <c r="BNN63" s="10"/>
      <c r="BNO63" s="10"/>
      <c r="BNP63" s="10"/>
      <c r="BNQ63" s="10"/>
      <c r="BNR63" s="10"/>
      <c r="BNS63" s="10"/>
      <c r="BNT63" s="10"/>
      <c r="BNU63" s="10"/>
      <c r="BNV63" s="10"/>
      <c r="BNW63" s="10"/>
      <c r="BNX63" s="10"/>
      <c r="BNY63" s="10"/>
      <c r="BNZ63" s="10"/>
      <c r="BOA63" s="10"/>
      <c r="BOB63" s="10"/>
      <c r="BOC63" s="10"/>
      <c r="BOD63" s="10"/>
      <c r="BOE63" s="10"/>
      <c r="BOF63" s="10"/>
      <c r="BOG63" s="10"/>
      <c r="BOH63" s="10"/>
      <c r="BOI63" s="10"/>
      <c r="BOJ63" s="10"/>
      <c r="BOK63" s="10"/>
      <c r="BOL63" s="10"/>
      <c r="BOM63" s="10"/>
      <c r="BON63" s="10"/>
      <c r="BOO63" s="10"/>
      <c r="BOP63" s="10"/>
      <c r="BOQ63" s="10"/>
      <c r="BOR63" s="10"/>
      <c r="BOS63" s="10"/>
      <c r="BOT63" s="10"/>
      <c r="BOU63" s="10"/>
      <c r="BOV63" s="10"/>
      <c r="BOW63" s="10"/>
      <c r="BOX63" s="10"/>
      <c r="BOY63" s="10"/>
      <c r="BOZ63" s="10"/>
      <c r="BPA63" s="10"/>
      <c r="BPB63" s="10"/>
      <c r="BPC63" s="10"/>
      <c r="BPD63" s="10"/>
      <c r="BPE63" s="10"/>
      <c r="BPF63" s="10"/>
      <c r="BPG63" s="10"/>
      <c r="BPH63" s="10"/>
      <c r="BPI63" s="10"/>
      <c r="BPJ63" s="10"/>
      <c r="BPK63" s="10"/>
      <c r="BPL63" s="10"/>
      <c r="BPM63" s="10"/>
      <c r="BPN63" s="10"/>
      <c r="BPO63" s="10"/>
      <c r="BPP63" s="10"/>
      <c r="BPQ63" s="10"/>
      <c r="BPR63" s="10"/>
      <c r="BPS63" s="10"/>
      <c r="BPT63" s="10"/>
      <c r="BPU63" s="10"/>
      <c r="BPV63" s="10"/>
      <c r="BPW63" s="10"/>
      <c r="BPX63" s="10"/>
      <c r="BPY63" s="10"/>
      <c r="BPZ63" s="10"/>
      <c r="BQA63" s="10"/>
      <c r="BQB63" s="10"/>
      <c r="BQC63" s="10"/>
      <c r="BQD63" s="10"/>
      <c r="BQE63" s="10"/>
      <c r="BQF63" s="10"/>
      <c r="BQG63" s="10"/>
      <c r="BQH63" s="10"/>
      <c r="BQI63" s="10"/>
      <c r="BQJ63" s="10"/>
      <c r="BQK63" s="10"/>
      <c r="BQL63" s="10"/>
      <c r="BQM63" s="10"/>
      <c r="BQN63" s="10"/>
      <c r="BQO63" s="10"/>
      <c r="BQP63" s="10"/>
      <c r="BQQ63" s="10"/>
      <c r="BQR63" s="10"/>
      <c r="BQS63" s="10"/>
      <c r="BQT63" s="10"/>
      <c r="BQU63" s="10"/>
      <c r="BQV63" s="10"/>
      <c r="BQW63" s="10"/>
      <c r="BQX63" s="10"/>
      <c r="BQY63" s="10"/>
      <c r="BQZ63" s="10"/>
      <c r="BRA63" s="10"/>
      <c r="BRB63" s="10"/>
      <c r="BRC63" s="10"/>
      <c r="BRD63" s="10"/>
      <c r="BRE63" s="10"/>
      <c r="BRF63" s="10"/>
      <c r="BRG63" s="10"/>
      <c r="BRH63" s="10"/>
      <c r="BRI63" s="10"/>
      <c r="BRJ63" s="10"/>
      <c r="BRK63" s="10"/>
      <c r="BRL63" s="10"/>
      <c r="BRM63" s="10"/>
      <c r="BRN63" s="10"/>
      <c r="BRO63" s="10"/>
      <c r="BRP63" s="10"/>
      <c r="BRQ63" s="10"/>
      <c r="BRR63" s="10"/>
      <c r="BRS63" s="10"/>
      <c r="BRT63" s="10"/>
      <c r="BRU63" s="10"/>
      <c r="BRV63" s="10"/>
      <c r="BRW63" s="10"/>
      <c r="BRX63" s="10"/>
      <c r="BRY63" s="10"/>
      <c r="BRZ63" s="10"/>
      <c r="BSA63" s="10"/>
      <c r="BSB63" s="10"/>
      <c r="BSC63" s="10"/>
      <c r="BSD63" s="10"/>
      <c r="BSE63" s="10"/>
      <c r="BSF63" s="10"/>
      <c r="BSG63" s="10"/>
      <c r="BSH63" s="10"/>
      <c r="BSI63" s="10"/>
      <c r="BSJ63" s="10"/>
      <c r="BSK63" s="10"/>
      <c r="BSL63" s="10"/>
      <c r="BSM63" s="10"/>
      <c r="BSN63" s="10"/>
      <c r="BSO63" s="10"/>
      <c r="BSP63" s="10"/>
      <c r="BSQ63" s="10"/>
      <c r="BSR63" s="10"/>
      <c r="BSS63" s="10"/>
      <c r="BST63" s="10"/>
      <c r="BSU63" s="10"/>
      <c r="BSV63" s="10"/>
      <c r="BSW63" s="10"/>
      <c r="BSX63" s="10"/>
      <c r="BSY63" s="10"/>
      <c r="BSZ63" s="10"/>
      <c r="BTA63" s="10"/>
      <c r="BTB63" s="10"/>
      <c r="BTC63" s="10"/>
      <c r="BTD63" s="10"/>
      <c r="BTE63" s="10"/>
      <c r="BTF63" s="10"/>
      <c r="BTG63" s="10"/>
      <c r="BTH63" s="10"/>
      <c r="BTI63" s="10"/>
      <c r="BTJ63" s="10"/>
      <c r="BTK63" s="10"/>
      <c r="BTL63" s="10"/>
      <c r="BTM63" s="10"/>
      <c r="BTN63" s="10"/>
      <c r="BTO63" s="10"/>
      <c r="BTP63" s="10"/>
      <c r="BTQ63" s="10"/>
      <c r="BTR63" s="10"/>
      <c r="BTS63" s="10"/>
      <c r="BTT63" s="10"/>
      <c r="BTU63" s="10"/>
      <c r="BTV63" s="10"/>
      <c r="BTW63" s="10"/>
      <c r="BTX63" s="10"/>
      <c r="BTY63" s="10"/>
      <c r="BTZ63" s="10"/>
      <c r="BUA63" s="10"/>
      <c r="BUB63" s="10"/>
      <c r="BUC63" s="10"/>
      <c r="BUD63" s="10"/>
      <c r="BUE63" s="10"/>
      <c r="BUF63" s="10"/>
      <c r="BUG63" s="10"/>
      <c r="BUH63" s="10"/>
      <c r="BUI63" s="10"/>
      <c r="BUJ63" s="10"/>
      <c r="BUK63" s="10"/>
      <c r="BUL63" s="10"/>
      <c r="BUM63" s="10"/>
      <c r="BUN63" s="10"/>
      <c r="BUO63" s="10"/>
      <c r="BUP63" s="10"/>
      <c r="BUQ63" s="10"/>
      <c r="BUR63" s="10"/>
      <c r="BUS63" s="10"/>
      <c r="BUT63" s="10"/>
      <c r="BUU63" s="10"/>
      <c r="BUV63" s="10"/>
      <c r="BUW63" s="10"/>
      <c r="BUX63" s="10"/>
      <c r="BUY63" s="10"/>
      <c r="BUZ63" s="10"/>
      <c r="BVA63" s="10"/>
      <c r="BVB63" s="10"/>
      <c r="BVC63" s="10"/>
      <c r="BVD63" s="10"/>
      <c r="BVE63" s="10"/>
      <c r="BVF63" s="10"/>
      <c r="BVG63" s="10"/>
      <c r="BVH63" s="10"/>
      <c r="BVI63" s="10"/>
      <c r="BVJ63" s="10"/>
      <c r="BVK63" s="10"/>
      <c r="BVL63" s="10"/>
      <c r="BVM63" s="10"/>
      <c r="BVN63" s="10"/>
      <c r="BVO63" s="10"/>
      <c r="BVP63" s="10"/>
      <c r="BVQ63" s="10"/>
      <c r="BVR63" s="10"/>
      <c r="BVS63" s="10"/>
      <c r="BVT63" s="10"/>
      <c r="BVU63" s="10"/>
      <c r="BVV63" s="10"/>
      <c r="BVW63" s="10"/>
      <c r="BVX63" s="10"/>
      <c r="BVY63" s="10"/>
      <c r="BVZ63" s="10"/>
      <c r="BWA63" s="10"/>
      <c r="BWB63" s="10"/>
      <c r="BWC63" s="10"/>
      <c r="BWD63" s="10"/>
      <c r="BWE63" s="10"/>
      <c r="BWF63" s="10"/>
      <c r="BWG63" s="10"/>
      <c r="BWH63" s="10"/>
      <c r="BWI63" s="10"/>
      <c r="BWJ63" s="10"/>
      <c r="BWK63" s="10"/>
      <c r="BWL63" s="10"/>
      <c r="BWM63" s="10"/>
      <c r="BWN63" s="10"/>
      <c r="BWO63" s="10"/>
      <c r="BWP63" s="10"/>
      <c r="BWQ63" s="10"/>
      <c r="BWR63" s="10"/>
      <c r="BWS63" s="10"/>
      <c r="BWT63" s="10"/>
      <c r="BWU63" s="10"/>
      <c r="BWV63" s="10"/>
      <c r="BWW63" s="10"/>
      <c r="BWX63" s="10"/>
      <c r="BWY63" s="10"/>
      <c r="BWZ63" s="10"/>
      <c r="BXA63" s="10"/>
      <c r="BXB63" s="10"/>
      <c r="BXC63" s="10"/>
      <c r="BXD63" s="10"/>
      <c r="BXE63" s="10"/>
      <c r="BXF63" s="10"/>
      <c r="BXG63" s="10"/>
      <c r="BXH63" s="10"/>
      <c r="BXI63" s="10"/>
      <c r="BXJ63" s="10"/>
      <c r="BXK63" s="10"/>
      <c r="BXL63" s="10"/>
      <c r="BXM63" s="10"/>
      <c r="BXN63" s="10"/>
      <c r="BXO63" s="10"/>
      <c r="BXP63" s="10"/>
      <c r="BXQ63" s="10"/>
      <c r="BXR63" s="10"/>
      <c r="BXS63" s="10"/>
      <c r="BXT63" s="10"/>
      <c r="BXU63" s="10"/>
      <c r="BXV63" s="10"/>
      <c r="BXW63" s="10"/>
      <c r="BXX63" s="10"/>
      <c r="BXY63" s="10"/>
      <c r="BXZ63" s="10"/>
      <c r="BYA63" s="10"/>
      <c r="BYB63" s="10"/>
      <c r="BYC63" s="10"/>
      <c r="BYD63" s="10"/>
      <c r="BYE63" s="10"/>
      <c r="BYF63" s="10"/>
      <c r="BYG63" s="10"/>
      <c r="BYH63" s="10"/>
      <c r="BYI63" s="10"/>
      <c r="BYJ63" s="10"/>
      <c r="BYK63" s="10"/>
      <c r="BYL63" s="10"/>
      <c r="BYM63" s="10"/>
      <c r="BYN63" s="10"/>
      <c r="BYO63" s="10"/>
      <c r="BYP63" s="10"/>
      <c r="BYQ63" s="10"/>
      <c r="BYR63" s="10"/>
      <c r="BYS63" s="10"/>
      <c r="BYT63" s="10"/>
      <c r="BYU63" s="10"/>
      <c r="BYV63" s="10"/>
      <c r="BYW63" s="10"/>
      <c r="BYX63" s="10"/>
      <c r="BYY63" s="10"/>
      <c r="BYZ63" s="10"/>
      <c r="BZA63" s="10"/>
      <c r="BZB63" s="10"/>
      <c r="BZC63" s="10"/>
      <c r="BZD63" s="10"/>
      <c r="BZE63" s="10"/>
      <c r="BZF63" s="10"/>
      <c r="BZG63" s="10"/>
      <c r="BZH63" s="10"/>
      <c r="BZI63" s="10"/>
      <c r="BZJ63" s="10"/>
      <c r="BZK63" s="10"/>
      <c r="BZL63" s="10"/>
      <c r="BZM63" s="10"/>
      <c r="BZN63" s="10"/>
      <c r="BZO63" s="10"/>
      <c r="BZP63" s="10"/>
      <c r="BZQ63" s="10"/>
      <c r="BZR63" s="10"/>
      <c r="BZS63" s="10"/>
      <c r="BZT63" s="10"/>
      <c r="BZU63" s="10"/>
      <c r="BZV63" s="10"/>
      <c r="BZW63" s="10"/>
      <c r="BZX63" s="10"/>
      <c r="BZY63" s="10"/>
      <c r="BZZ63" s="10"/>
      <c r="CAA63" s="10"/>
      <c r="CAB63" s="10"/>
      <c r="CAC63" s="10"/>
      <c r="CAD63" s="10"/>
      <c r="CAE63" s="10"/>
      <c r="CAF63" s="10"/>
      <c r="CAG63" s="10"/>
      <c r="CAH63" s="10"/>
      <c r="CAI63" s="10"/>
      <c r="CAJ63" s="10"/>
      <c r="CAK63" s="10"/>
      <c r="CAL63" s="10"/>
      <c r="CAM63" s="10"/>
      <c r="CAN63" s="10"/>
      <c r="CAO63" s="10"/>
      <c r="CAP63" s="10"/>
      <c r="CAQ63" s="10"/>
      <c r="CAR63" s="10"/>
      <c r="CAS63" s="10"/>
      <c r="CAT63" s="10"/>
      <c r="CAU63" s="10"/>
      <c r="CAV63" s="10"/>
      <c r="CAW63" s="10"/>
      <c r="CAX63" s="10"/>
      <c r="CAY63" s="10"/>
      <c r="CAZ63" s="10"/>
      <c r="CBA63" s="10"/>
      <c r="CBB63" s="10"/>
      <c r="CBC63" s="10"/>
      <c r="CBD63" s="10"/>
      <c r="CBE63" s="10"/>
      <c r="CBF63" s="10"/>
      <c r="CBG63" s="10"/>
      <c r="CBH63" s="10"/>
      <c r="CBI63" s="10"/>
      <c r="CBJ63" s="10"/>
      <c r="CBK63" s="10"/>
      <c r="CBL63" s="10"/>
      <c r="CBM63" s="10"/>
      <c r="CBN63" s="10"/>
      <c r="CBO63" s="10"/>
      <c r="CBP63" s="10"/>
      <c r="CBQ63" s="10"/>
      <c r="CBR63" s="10"/>
      <c r="CBS63" s="10"/>
      <c r="CBT63" s="10"/>
      <c r="CBU63" s="10"/>
      <c r="CBV63" s="10"/>
      <c r="CBW63" s="10"/>
      <c r="CBX63" s="10"/>
      <c r="CBY63" s="10"/>
      <c r="CBZ63" s="10"/>
      <c r="CCA63" s="10"/>
      <c r="CCB63" s="10"/>
      <c r="CCC63" s="10"/>
      <c r="CCD63" s="10"/>
      <c r="CCE63" s="10"/>
      <c r="CCF63" s="10"/>
      <c r="CCG63" s="10"/>
      <c r="CCH63" s="10"/>
      <c r="CCI63" s="10"/>
      <c r="CCJ63" s="10"/>
      <c r="CCK63" s="10"/>
      <c r="CCL63" s="10"/>
      <c r="CCM63" s="10"/>
      <c r="CCN63" s="10"/>
      <c r="CCO63" s="10"/>
      <c r="CCP63" s="10"/>
      <c r="CCQ63" s="10"/>
      <c r="CCR63" s="10"/>
      <c r="CCS63" s="10"/>
      <c r="CCT63" s="10"/>
      <c r="CCU63" s="10"/>
      <c r="CCV63" s="10"/>
      <c r="CCW63" s="10"/>
      <c r="CCX63" s="10"/>
      <c r="CCY63" s="10"/>
      <c r="CCZ63" s="10"/>
      <c r="CDA63" s="10"/>
      <c r="CDB63" s="10"/>
      <c r="CDC63" s="10"/>
      <c r="CDD63" s="10"/>
      <c r="CDE63" s="10"/>
      <c r="CDF63" s="10"/>
      <c r="CDG63" s="10"/>
      <c r="CDH63" s="10"/>
      <c r="CDI63" s="10"/>
      <c r="CDJ63" s="10"/>
      <c r="CDK63" s="10"/>
      <c r="CDL63" s="10"/>
      <c r="CDM63" s="10"/>
      <c r="CDN63" s="10"/>
      <c r="CDO63" s="10"/>
      <c r="CDP63" s="10"/>
      <c r="CDQ63" s="10"/>
      <c r="CDR63" s="10"/>
      <c r="CDS63" s="10"/>
      <c r="CDT63" s="10"/>
      <c r="CDU63" s="10"/>
      <c r="CDV63" s="10"/>
      <c r="CDW63" s="10"/>
      <c r="CDX63" s="10"/>
      <c r="CDY63" s="10"/>
      <c r="CDZ63" s="10"/>
      <c r="CEA63" s="10"/>
      <c r="CEB63" s="10"/>
      <c r="CEC63" s="10"/>
      <c r="CED63" s="10"/>
      <c r="CEE63" s="10"/>
      <c r="CEF63" s="10"/>
      <c r="CEG63" s="10"/>
      <c r="CEH63" s="10"/>
      <c r="CEI63" s="10"/>
      <c r="CEJ63" s="10"/>
      <c r="CEK63" s="10"/>
      <c r="CEL63" s="10"/>
      <c r="CEM63" s="10"/>
      <c r="CEN63" s="10"/>
      <c r="CEO63" s="10"/>
      <c r="CEP63" s="10"/>
      <c r="CEQ63" s="10"/>
      <c r="CER63" s="10"/>
      <c r="CES63" s="10"/>
      <c r="CET63" s="10"/>
      <c r="CEU63" s="10"/>
      <c r="CEV63" s="10"/>
      <c r="CEW63" s="10"/>
      <c r="CEX63" s="10"/>
      <c r="CEY63" s="10"/>
      <c r="CEZ63" s="10"/>
      <c r="CFA63" s="10"/>
      <c r="CFB63" s="10"/>
      <c r="CFC63" s="10"/>
      <c r="CFD63" s="10"/>
      <c r="CFE63" s="10"/>
      <c r="CFF63" s="10"/>
      <c r="CFG63" s="10"/>
      <c r="CFH63" s="10"/>
      <c r="CFI63" s="10"/>
      <c r="CFJ63" s="10"/>
      <c r="CFK63" s="10"/>
      <c r="CFL63" s="10"/>
      <c r="CFM63" s="10"/>
      <c r="CFN63" s="10"/>
      <c r="CFO63" s="10"/>
      <c r="CFP63" s="10"/>
      <c r="CFQ63" s="10"/>
      <c r="CFR63" s="10"/>
      <c r="CFS63" s="10"/>
      <c r="CFT63" s="10"/>
      <c r="CFU63" s="10"/>
      <c r="CFV63" s="10"/>
      <c r="CFW63" s="10"/>
      <c r="CFX63" s="10"/>
      <c r="CFY63" s="10"/>
      <c r="CFZ63" s="10"/>
      <c r="CGA63" s="10"/>
      <c r="CGB63" s="10"/>
      <c r="CGC63" s="10"/>
      <c r="CGD63" s="10"/>
      <c r="CGE63" s="10"/>
      <c r="CGF63" s="10"/>
      <c r="CGG63" s="10"/>
      <c r="CGH63" s="10"/>
      <c r="CGI63" s="10"/>
      <c r="CGJ63" s="10"/>
      <c r="CGK63" s="10"/>
      <c r="CGL63" s="10"/>
      <c r="CGM63" s="10"/>
      <c r="CGN63" s="10"/>
      <c r="CGO63" s="10"/>
      <c r="CGP63" s="10"/>
      <c r="CGQ63" s="10"/>
      <c r="CGR63" s="10"/>
      <c r="CGS63" s="10"/>
      <c r="CGT63" s="10"/>
      <c r="CGU63" s="10"/>
      <c r="CGV63" s="10"/>
      <c r="CGW63" s="10"/>
      <c r="CGX63" s="10"/>
      <c r="CGY63" s="10"/>
      <c r="CGZ63" s="10"/>
      <c r="CHA63" s="10"/>
      <c r="CHB63" s="10"/>
      <c r="CHC63" s="10"/>
      <c r="CHD63" s="10"/>
      <c r="CHE63" s="10"/>
      <c r="CHF63" s="10"/>
      <c r="CHG63" s="10"/>
      <c r="CHH63" s="10"/>
      <c r="CHI63" s="10"/>
      <c r="CHJ63" s="10"/>
      <c r="CHK63" s="10"/>
      <c r="CHL63" s="10"/>
      <c r="CHM63" s="10"/>
      <c r="CHN63" s="10"/>
      <c r="CHO63" s="10"/>
      <c r="CHP63" s="10"/>
      <c r="CHQ63" s="10"/>
      <c r="CHR63" s="10"/>
      <c r="CHS63" s="10"/>
      <c r="CHT63" s="10"/>
      <c r="CHU63" s="10"/>
      <c r="CHV63" s="10"/>
      <c r="CHW63" s="10"/>
      <c r="CHX63" s="10"/>
      <c r="CHY63" s="10"/>
      <c r="CHZ63" s="10"/>
      <c r="CIA63" s="10"/>
      <c r="CIB63" s="10"/>
      <c r="CIC63" s="10"/>
      <c r="CID63" s="10"/>
      <c r="CIE63" s="10"/>
      <c r="CIF63" s="10"/>
      <c r="CIG63" s="10"/>
      <c r="CIH63" s="10"/>
      <c r="CII63" s="10"/>
      <c r="CIJ63" s="10"/>
      <c r="CIK63" s="10"/>
      <c r="CIL63" s="10"/>
      <c r="CIM63" s="10"/>
      <c r="CIN63" s="10"/>
      <c r="CIO63" s="10"/>
      <c r="CIP63" s="10"/>
      <c r="CIQ63" s="10"/>
      <c r="CIR63" s="10"/>
      <c r="CIS63" s="10"/>
      <c r="CIT63" s="10"/>
      <c r="CIU63" s="10"/>
      <c r="CIV63" s="10"/>
      <c r="CIW63" s="10"/>
      <c r="CIX63" s="10"/>
      <c r="CIY63" s="10"/>
      <c r="CIZ63" s="10"/>
      <c r="CJA63" s="10"/>
      <c r="CJB63" s="10"/>
      <c r="CJC63" s="10"/>
      <c r="CJD63" s="10"/>
      <c r="CJE63" s="10"/>
      <c r="CJF63" s="10"/>
      <c r="CJG63" s="10"/>
      <c r="CJH63" s="10"/>
      <c r="CJI63" s="10"/>
      <c r="CJJ63" s="10"/>
      <c r="CJK63" s="10"/>
      <c r="CJL63" s="10"/>
      <c r="CJM63" s="10"/>
      <c r="CJN63" s="10"/>
      <c r="CJO63" s="10"/>
      <c r="CJP63" s="10"/>
      <c r="CJQ63" s="10"/>
      <c r="CJR63" s="10"/>
      <c r="CJS63" s="10"/>
      <c r="CJT63" s="10"/>
      <c r="CJU63" s="10"/>
      <c r="CJV63" s="10"/>
      <c r="CJW63" s="10"/>
      <c r="CJX63" s="10"/>
      <c r="CJY63" s="10"/>
      <c r="CJZ63" s="10"/>
      <c r="CKA63" s="10"/>
      <c r="CKB63" s="10"/>
      <c r="CKC63" s="10"/>
      <c r="CKD63" s="10"/>
      <c r="CKE63" s="10"/>
      <c r="CKF63" s="10"/>
      <c r="CKG63" s="10"/>
      <c r="CKH63" s="10"/>
      <c r="CKI63" s="10"/>
      <c r="CKJ63" s="10"/>
      <c r="CKK63" s="10"/>
      <c r="CKL63" s="10"/>
      <c r="CKM63" s="10"/>
      <c r="CKN63" s="10"/>
      <c r="CKO63" s="10"/>
      <c r="CKP63" s="10"/>
      <c r="CKQ63" s="10"/>
      <c r="CKR63" s="10"/>
      <c r="CKS63" s="10"/>
      <c r="CKT63" s="10"/>
      <c r="CKU63" s="10"/>
      <c r="CKV63" s="10"/>
      <c r="CKW63" s="10"/>
      <c r="CKX63" s="10"/>
      <c r="CKY63" s="10"/>
      <c r="CKZ63" s="10"/>
      <c r="CLA63" s="10"/>
      <c r="CLB63" s="10"/>
      <c r="CLC63" s="10"/>
      <c r="CLD63" s="10"/>
      <c r="CLE63" s="10"/>
      <c r="CLF63" s="10"/>
      <c r="CLG63" s="10"/>
      <c r="CLH63" s="10"/>
      <c r="CLI63" s="10"/>
      <c r="CLJ63" s="10"/>
      <c r="CLK63" s="10"/>
      <c r="CLL63" s="10"/>
      <c r="CLM63" s="10"/>
      <c r="CLN63" s="10"/>
      <c r="CLO63" s="10"/>
      <c r="CLP63" s="10"/>
      <c r="CLQ63" s="10"/>
      <c r="CLR63" s="10"/>
      <c r="CLS63" s="10"/>
      <c r="CLT63" s="10"/>
      <c r="CLU63" s="10"/>
      <c r="CLV63" s="10"/>
      <c r="CLW63" s="10"/>
      <c r="CLX63" s="10"/>
      <c r="CLY63" s="10"/>
      <c r="CLZ63" s="10"/>
      <c r="CMA63" s="10"/>
      <c r="CMB63" s="10"/>
      <c r="CMC63" s="10"/>
      <c r="CMD63" s="10"/>
      <c r="CME63" s="10"/>
      <c r="CMF63" s="10"/>
      <c r="CMG63" s="10"/>
      <c r="CMH63" s="10"/>
      <c r="CMI63" s="10"/>
      <c r="CMJ63" s="10"/>
      <c r="CMK63" s="10"/>
      <c r="CML63" s="10"/>
      <c r="CMM63" s="10"/>
      <c r="CMN63" s="10"/>
      <c r="CMO63" s="10"/>
      <c r="CMP63" s="10"/>
      <c r="CMQ63" s="10"/>
      <c r="CMR63" s="10"/>
      <c r="CMS63" s="10"/>
      <c r="CMT63" s="10"/>
      <c r="CMU63" s="10"/>
      <c r="CMV63" s="10"/>
      <c r="CMW63" s="10"/>
      <c r="CMX63" s="10"/>
      <c r="CMY63" s="10"/>
      <c r="CMZ63" s="10"/>
      <c r="CNA63" s="10"/>
      <c r="CNB63" s="10"/>
      <c r="CNC63" s="10"/>
      <c r="CND63" s="10"/>
      <c r="CNE63" s="10"/>
      <c r="CNF63" s="10"/>
      <c r="CNG63" s="10"/>
      <c r="CNH63" s="10"/>
      <c r="CNI63" s="10"/>
      <c r="CNJ63" s="10"/>
      <c r="CNK63" s="10"/>
      <c r="CNL63" s="10"/>
      <c r="CNM63" s="10"/>
      <c r="CNN63" s="10"/>
      <c r="CNO63" s="10"/>
      <c r="CNP63" s="10"/>
      <c r="CNQ63" s="10"/>
      <c r="CNR63" s="10"/>
      <c r="CNS63" s="10"/>
      <c r="CNT63" s="10"/>
      <c r="CNU63" s="10"/>
      <c r="CNV63" s="10"/>
      <c r="CNW63" s="10"/>
      <c r="CNX63" s="10"/>
      <c r="CNY63" s="10"/>
      <c r="CNZ63" s="10"/>
      <c r="COA63" s="10"/>
      <c r="COB63" s="10"/>
      <c r="COC63" s="10"/>
      <c r="COD63" s="10"/>
      <c r="COE63" s="10"/>
      <c r="COF63" s="10"/>
      <c r="COG63" s="10"/>
      <c r="COH63" s="10"/>
      <c r="COI63" s="10"/>
      <c r="COJ63" s="10"/>
      <c r="COK63" s="10"/>
      <c r="COL63" s="10"/>
      <c r="COM63" s="10"/>
      <c r="CON63" s="10"/>
      <c r="COO63" s="10"/>
      <c r="COP63" s="10"/>
      <c r="COQ63" s="10"/>
      <c r="COR63" s="10"/>
      <c r="COS63" s="10"/>
      <c r="COT63" s="10"/>
      <c r="COU63" s="10"/>
      <c r="COV63" s="10"/>
      <c r="COW63" s="10"/>
      <c r="COX63" s="10"/>
      <c r="COY63" s="10"/>
      <c r="COZ63" s="10"/>
      <c r="CPA63" s="10"/>
      <c r="CPB63" s="10"/>
      <c r="CPC63" s="10"/>
      <c r="CPD63" s="10"/>
      <c r="CPE63" s="10"/>
      <c r="CPF63" s="10"/>
      <c r="CPG63" s="10"/>
      <c r="CPH63" s="10"/>
      <c r="CPI63" s="10"/>
      <c r="CPJ63" s="10"/>
      <c r="CPK63" s="10"/>
      <c r="CPL63" s="10"/>
      <c r="CPM63" s="10"/>
      <c r="CPN63" s="10"/>
      <c r="CPO63" s="10"/>
      <c r="CPP63" s="10"/>
      <c r="CPQ63" s="10"/>
      <c r="CPR63" s="10"/>
      <c r="CPS63" s="10"/>
      <c r="CPT63" s="10"/>
      <c r="CPU63" s="10"/>
      <c r="CPV63" s="10"/>
      <c r="CPW63" s="10"/>
      <c r="CPX63" s="10"/>
      <c r="CPY63" s="10"/>
      <c r="CPZ63" s="10"/>
      <c r="CQA63" s="10"/>
      <c r="CQB63" s="10"/>
      <c r="CQC63" s="10"/>
      <c r="CQD63" s="10"/>
      <c r="CQE63" s="10"/>
      <c r="CQF63" s="10"/>
      <c r="CQG63" s="10"/>
      <c r="CQH63" s="10"/>
      <c r="CQI63" s="10"/>
      <c r="CQJ63" s="10"/>
      <c r="CQK63" s="10"/>
      <c r="CQL63" s="10"/>
      <c r="CQM63" s="10"/>
      <c r="CQN63" s="10"/>
      <c r="CQO63" s="10"/>
      <c r="CQP63" s="10"/>
      <c r="CQQ63" s="10"/>
      <c r="CQR63" s="10"/>
      <c r="CQS63" s="10"/>
      <c r="CQT63" s="10"/>
      <c r="CQU63" s="10"/>
      <c r="CQV63" s="10"/>
      <c r="CQW63" s="10"/>
      <c r="CQX63" s="10"/>
      <c r="CQY63" s="10"/>
      <c r="CQZ63" s="10"/>
      <c r="CRA63" s="10"/>
      <c r="CRB63" s="10"/>
      <c r="CRC63" s="10"/>
      <c r="CRD63" s="10"/>
      <c r="CRE63" s="10"/>
      <c r="CRF63" s="10"/>
      <c r="CRG63" s="10"/>
      <c r="CRH63" s="10"/>
      <c r="CRI63" s="10"/>
      <c r="CRJ63" s="10"/>
      <c r="CRK63" s="10"/>
      <c r="CRL63" s="10"/>
      <c r="CRM63" s="10"/>
      <c r="CRN63" s="10"/>
      <c r="CRO63" s="10"/>
      <c r="CRP63" s="10"/>
      <c r="CRQ63" s="10"/>
      <c r="CRR63" s="10"/>
      <c r="CRS63" s="10"/>
      <c r="CRT63" s="10"/>
      <c r="CRU63" s="10"/>
      <c r="CRV63" s="10"/>
      <c r="CRW63" s="10"/>
      <c r="CRX63" s="10"/>
      <c r="CRY63" s="10"/>
      <c r="CRZ63" s="10"/>
      <c r="CSA63" s="10"/>
      <c r="CSB63" s="10"/>
      <c r="CSC63" s="10"/>
      <c r="CSD63" s="10"/>
      <c r="CSE63" s="10"/>
      <c r="CSF63" s="10"/>
      <c r="CSG63" s="10"/>
      <c r="CSH63" s="10"/>
      <c r="CSI63" s="10"/>
      <c r="CSJ63" s="10"/>
      <c r="CSK63" s="10"/>
      <c r="CSL63" s="10"/>
      <c r="CSM63" s="10"/>
      <c r="CSN63" s="10"/>
      <c r="CSO63" s="10"/>
      <c r="CSP63" s="10"/>
      <c r="CSQ63" s="10"/>
      <c r="CSR63" s="10"/>
      <c r="CSS63" s="10"/>
      <c r="CST63" s="10"/>
      <c r="CSU63" s="10"/>
      <c r="CSV63" s="10"/>
      <c r="CSW63" s="10"/>
      <c r="CSX63" s="10"/>
      <c r="CSY63" s="10"/>
      <c r="CSZ63" s="10"/>
      <c r="CTA63" s="10"/>
      <c r="CTB63" s="10"/>
      <c r="CTC63" s="10"/>
      <c r="CTD63" s="10"/>
      <c r="CTE63" s="10"/>
      <c r="CTF63" s="10"/>
      <c r="CTG63" s="10"/>
      <c r="CTH63" s="10"/>
      <c r="CTI63" s="10"/>
      <c r="CTJ63" s="10"/>
      <c r="CTK63" s="10"/>
      <c r="CTL63" s="10"/>
      <c r="CTM63" s="10"/>
      <c r="CTN63" s="10"/>
      <c r="CTO63" s="10"/>
      <c r="CTP63" s="10"/>
      <c r="CTQ63" s="10"/>
      <c r="CTR63" s="10"/>
      <c r="CTS63" s="10"/>
      <c r="CTT63" s="10"/>
      <c r="CTU63" s="10"/>
      <c r="CTV63" s="10"/>
      <c r="CTW63" s="10"/>
      <c r="CTX63" s="10"/>
      <c r="CTY63" s="10"/>
      <c r="CTZ63" s="10"/>
      <c r="CUA63" s="10"/>
      <c r="CUB63" s="10"/>
      <c r="CUC63" s="10"/>
      <c r="CUD63" s="10"/>
      <c r="CUE63" s="10"/>
      <c r="CUF63" s="10"/>
      <c r="CUG63" s="10"/>
      <c r="CUH63" s="10"/>
      <c r="CUI63" s="10"/>
      <c r="CUJ63" s="10"/>
      <c r="CUK63" s="10"/>
      <c r="CUL63" s="10"/>
      <c r="CUM63" s="10"/>
      <c r="CUN63" s="10"/>
      <c r="CUO63" s="10"/>
      <c r="CUP63" s="10"/>
      <c r="CUQ63" s="10"/>
      <c r="CUR63" s="10"/>
      <c r="CUS63" s="10"/>
      <c r="CUT63" s="10"/>
      <c r="CUU63" s="10"/>
      <c r="CUV63" s="10"/>
      <c r="CUW63" s="10"/>
      <c r="CUX63" s="10"/>
      <c r="CUY63" s="10"/>
      <c r="CUZ63" s="10"/>
      <c r="CVA63" s="10"/>
      <c r="CVB63" s="10"/>
      <c r="CVC63" s="10"/>
      <c r="CVD63" s="10"/>
      <c r="CVE63" s="10"/>
      <c r="CVF63" s="10"/>
      <c r="CVG63" s="10"/>
      <c r="CVH63" s="10"/>
      <c r="CVI63" s="10"/>
      <c r="CVJ63" s="10"/>
      <c r="CVK63" s="10"/>
      <c r="CVL63" s="10"/>
      <c r="CVM63" s="10"/>
      <c r="CVN63" s="10"/>
      <c r="CVO63" s="10"/>
      <c r="CVP63" s="10"/>
      <c r="CVQ63" s="10"/>
      <c r="CVR63" s="10"/>
      <c r="CVS63" s="10"/>
      <c r="CVT63" s="10"/>
      <c r="CVU63" s="10"/>
      <c r="CVV63" s="10"/>
      <c r="CVW63" s="10"/>
      <c r="CVX63" s="10"/>
      <c r="CVY63" s="10"/>
      <c r="CVZ63" s="10"/>
      <c r="CWA63" s="10"/>
      <c r="CWB63" s="10"/>
      <c r="CWC63" s="10"/>
      <c r="CWD63" s="10"/>
      <c r="CWE63" s="10"/>
      <c r="CWF63" s="10"/>
      <c r="CWG63" s="10"/>
      <c r="CWH63" s="10"/>
      <c r="CWI63" s="10"/>
      <c r="CWJ63" s="10"/>
      <c r="CWK63" s="10"/>
      <c r="CWL63" s="10"/>
      <c r="CWM63" s="10"/>
      <c r="CWN63" s="10"/>
      <c r="CWO63" s="10"/>
      <c r="CWP63" s="10"/>
      <c r="CWQ63" s="10"/>
      <c r="CWR63" s="10"/>
      <c r="CWS63" s="10"/>
      <c r="CWT63" s="10"/>
      <c r="CWU63" s="10"/>
      <c r="CWV63" s="10"/>
      <c r="CWW63" s="10"/>
      <c r="CWX63" s="10"/>
      <c r="CWY63" s="10"/>
      <c r="CWZ63" s="10"/>
      <c r="CXA63" s="10"/>
      <c r="CXB63" s="10"/>
      <c r="CXC63" s="10"/>
      <c r="CXD63" s="10"/>
      <c r="CXE63" s="10"/>
      <c r="CXF63" s="10"/>
      <c r="CXG63" s="10"/>
      <c r="CXH63" s="10"/>
      <c r="CXI63" s="10"/>
      <c r="CXJ63" s="10"/>
      <c r="CXK63" s="10"/>
      <c r="CXL63" s="10"/>
      <c r="CXM63" s="10"/>
      <c r="CXN63" s="10"/>
      <c r="CXO63" s="10"/>
      <c r="CXP63" s="10"/>
      <c r="CXQ63" s="10"/>
      <c r="CXR63" s="10"/>
      <c r="CXS63" s="10"/>
      <c r="CXT63" s="10"/>
      <c r="CXU63" s="10"/>
      <c r="CXV63" s="10"/>
      <c r="CXW63" s="10"/>
      <c r="CXX63" s="10"/>
      <c r="CXY63" s="10"/>
      <c r="CXZ63" s="10"/>
      <c r="CYA63" s="10"/>
      <c r="CYB63" s="10"/>
      <c r="CYC63" s="10"/>
      <c r="CYD63" s="10"/>
      <c r="CYE63" s="10"/>
      <c r="CYF63" s="10"/>
      <c r="CYG63" s="10"/>
      <c r="CYH63" s="10"/>
      <c r="CYI63" s="10"/>
      <c r="CYJ63" s="10"/>
      <c r="CYK63" s="10"/>
      <c r="CYL63" s="10"/>
      <c r="CYM63" s="10"/>
      <c r="CYN63" s="10"/>
      <c r="CYO63" s="10"/>
      <c r="CYP63" s="10"/>
      <c r="CYQ63" s="10"/>
      <c r="CYR63" s="10"/>
      <c r="CYS63" s="10"/>
      <c r="CYT63" s="10"/>
      <c r="CYU63" s="10"/>
      <c r="CYV63" s="10"/>
      <c r="CYW63" s="10"/>
      <c r="CYX63" s="10"/>
      <c r="CYY63" s="10"/>
      <c r="CYZ63" s="10"/>
      <c r="CZA63" s="10"/>
      <c r="CZB63" s="10"/>
      <c r="CZC63" s="10"/>
      <c r="CZD63" s="10"/>
      <c r="CZE63" s="10"/>
      <c r="CZF63" s="10"/>
      <c r="CZG63" s="10"/>
      <c r="CZH63" s="10"/>
      <c r="CZI63" s="10"/>
      <c r="CZJ63" s="10"/>
      <c r="CZK63" s="10"/>
      <c r="CZL63" s="10"/>
      <c r="CZM63" s="10"/>
      <c r="CZN63" s="10"/>
      <c r="CZO63" s="10"/>
      <c r="CZP63" s="10"/>
      <c r="CZQ63" s="10"/>
      <c r="CZR63" s="10"/>
      <c r="CZS63" s="10"/>
      <c r="CZT63" s="10"/>
      <c r="CZU63" s="10"/>
      <c r="CZV63" s="10"/>
      <c r="CZW63" s="10"/>
      <c r="CZX63" s="10"/>
      <c r="CZY63" s="10"/>
      <c r="CZZ63" s="10"/>
      <c r="DAA63" s="10"/>
      <c r="DAB63" s="10"/>
      <c r="DAC63" s="10"/>
      <c r="DAD63" s="10"/>
      <c r="DAE63" s="10"/>
      <c r="DAF63" s="10"/>
      <c r="DAG63" s="10"/>
      <c r="DAH63" s="10"/>
      <c r="DAI63" s="10"/>
      <c r="DAJ63" s="10"/>
      <c r="DAK63" s="10"/>
      <c r="DAL63" s="10"/>
      <c r="DAM63" s="10"/>
      <c r="DAN63" s="10"/>
      <c r="DAO63" s="10"/>
      <c r="DAP63" s="10"/>
      <c r="DAQ63" s="10"/>
      <c r="DAR63" s="10"/>
      <c r="DAS63" s="10"/>
      <c r="DAT63" s="10"/>
      <c r="DAU63" s="10"/>
      <c r="DAV63" s="10"/>
      <c r="DAW63" s="10"/>
      <c r="DAX63" s="10"/>
      <c r="DAY63" s="10"/>
      <c r="DAZ63" s="10"/>
      <c r="DBA63" s="10"/>
      <c r="DBB63" s="10"/>
      <c r="DBC63" s="10"/>
      <c r="DBD63" s="10"/>
      <c r="DBE63" s="10"/>
      <c r="DBF63" s="10"/>
      <c r="DBG63" s="10"/>
      <c r="DBH63" s="10"/>
      <c r="DBI63" s="10"/>
      <c r="DBJ63" s="10"/>
      <c r="DBK63" s="10"/>
      <c r="DBL63" s="10"/>
      <c r="DBM63" s="10"/>
      <c r="DBN63" s="10"/>
      <c r="DBO63" s="10"/>
      <c r="DBP63" s="10"/>
      <c r="DBQ63" s="10"/>
      <c r="DBR63" s="10"/>
      <c r="DBS63" s="10"/>
      <c r="DBT63" s="10"/>
      <c r="DBU63" s="10"/>
      <c r="DBV63" s="10"/>
      <c r="DBW63" s="10"/>
      <c r="DBX63" s="10"/>
      <c r="DBY63" s="10"/>
      <c r="DBZ63" s="10"/>
      <c r="DCA63" s="10"/>
      <c r="DCB63" s="10"/>
      <c r="DCC63" s="10"/>
      <c r="DCD63" s="10"/>
      <c r="DCE63" s="10"/>
      <c r="DCF63" s="10"/>
      <c r="DCG63" s="10"/>
      <c r="DCH63" s="10"/>
      <c r="DCI63" s="10"/>
      <c r="DCJ63" s="10"/>
      <c r="DCK63" s="10"/>
      <c r="DCL63" s="10"/>
      <c r="DCM63" s="10"/>
      <c r="DCN63" s="10"/>
      <c r="DCO63" s="10"/>
      <c r="DCP63" s="10"/>
      <c r="DCQ63" s="10"/>
      <c r="DCR63" s="10"/>
      <c r="DCS63" s="10"/>
      <c r="DCT63" s="10"/>
      <c r="DCU63" s="10"/>
      <c r="DCV63" s="10"/>
      <c r="DCW63" s="10"/>
      <c r="DCX63" s="10"/>
      <c r="DCY63" s="10"/>
      <c r="DCZ63" s="10"/>
      <c r="DDA63" s="10"/>
      <c r="DDB63" s="10"/>
      <c r="DDC63" s="10"/>
      <c r="DDD63" s="10"/>
      <c r="DDE63" s="10"/>
      <c r="DDF63" s="10"/>
      <c r="DDG63" s="10"/>
      <c r="DDH63" s="10"/>
      <c r="DDI63" s="10"/>
      <c r="DDJ63" s="10"/>
      <c r="DDK63" s="10"/>
      <c r="DDL63" s="10"/>
      <c r="DDM63" s="10"/>
      <c r="DDN63" s="10"/>
      <c r="DDO63" s="10"/>
      <c r="DDP63" s="10"/>
      <c r="DDQ63" s="10"/>
      <c r="DDR63" s="10"/>
      <c r="DDS63" s="10"/>
      <c r="DDT63" s="10"/>
      <c r="DDU63" s="10"/>
      <c r="DDV63" s="10"/>
      <c r="DDW63" s="10"/>
      <c r="DDX63" s="10"/>
      <c r="DDY63" s="10"/>
      <c r="DDZ63" s="10"/>
      <c r="DEA63" s="10"/>
      <c r="DEB63" s="10"/>
      <c r="DEC63" s="10"/>
      <c r="DED63" s="10"/>
      <c r="DEE63" s="10"/>
      <c r="DEF63" s="10"/>
      <c r="DEG63" s="10"/>
      <c r="DEH63" s="10"/>
      <c r="DEI63" s="10"/>
      <c r="DEJ63" s="10"/>
      <c r="DEK63" s="10"/>
      <c r="DEL63" s="10"/>
      <c r="DEM63" s="10"/>
      <c r="DEN63" s="10"/>
      <c r="DEO63" s="10"/>
      <c r="DEP63" s="10"/>
      <c r="DEQ63" s="10"/>
      <c r="DER63" s="10"/>
      <c r="DES63" s="10"/>
      <c r="DET63" s="10"/>
      <c r="DEU63" s="10"/>
      <c r="DEV63" s="10"/>
      <c r="DEW63" s="10"/>
      <c r="DEX63" s="10"/>
      <c r="DEY63" s="10"/>
      <c r="DEZ63" s="10"/>
      <c r="DFA63" s="10"/>
      <c r="DFB63" s="10"/>
      <c r="DFC63" s="10"/>
      <c r="DFD63" s="10"/>
      <c r="DFE63" s="10"/>
      <c r="DFF63" s="10"/>
      <c r="DFG63" s="10"/>
      <c r="DFH63" s="10"/>
      <c r="DFI63" s="10"/>
      <c r="DFJ63" s="10"/>
      <c r="DFK63" s="10"/>
      <c r="DFL63" s="10"/>
      <c r="DFM63" s="10"/>
      <c r="DFN63" s="10"/>
      <c r="DFO63" s="10"/>
      <c r="DFP63" s="10"/>
      <c r="DFQ63" s="10"/>
      <c r="DFR63" s="10"/>
      <c r="DFS63" s="10"/>
      <c r="DFT63" s="10"/>
      <c r="DFU63" s="10"/>
      <c r="DFV63" s="10"/>
      <c r="DFW63" s="10"/>
      <c r="DFX63" s="10"/>
      <c r="DFY63" s="10"/>
      <c r="DFZ63" s="10"/>
      <c r="DGA63" s="10"/>
      <c r="DGB63" s="10"/>
      <c r="DGC63" s="10"/>
      <c r="DGD63" s="10"/>
      <c r="DGE63" s="10"/>
      <c r="DGF63" s="10"/>
      <c r="DGG63" s="10"/>
      <c r="DGH63" s="10"/>
      <c r="DGI63" s="10"/>
      <c r="DGJ63" s="10"/>
      <c r="DGK63" s="10"/>
      <c r="DGL63" s="10"/>
      <c r="DGM63" s="10"/>
      <c r="DGN63" s="10"/>
      <c r="DGO63" s="10"/>
      <c r="DGP63" s="10"/>
      <c r="DGQ63" s="10"/>
      <c r="DGR63" s="10"/>
      <c r="DGS63" s="10"/>
      <c r="DGT63" s="10"/>
      <c r="DGU63" s="10"/>
      <c r="DGV63" s="10"/>
      <c r="DGW63" s="10"/>
      <c r="DGX63" s="10"/>
      <c r="DGY63" s="10"/>
      <c r="DGZ63" s="10"/>
      <c r="DHA63" s="10"/>
      <c r="DHB63" s="10"/>
      <c r="DHC63" s="10"/>
      <c r="DHD63" s="10"/>
      <c r="DHE63" s="10"/>
      <c r="DHF63" s="10"/>
      <c r="DHG63" s="10"/>
      <c r="DHH63" s="10"/>
      <c r="DHI63" s="10"/>
      <c r="DHJ63" s="10"/>
      <c r="DHK63" s="10"/>
      <c r="DHL63" s="10"/>
      <c r="DHM63" s="10"/>
      <c r="DHN63" s="10"/>
      <c r="DHO63" s="10"/>
      <c r="DHP63" s="10"/>
      <c r="DHQ63" s="10"/>
      <c r="DHR63" s="10"/>
      <c r="DHS63" s="10"/>
      <c r="DHT63" s="10"/>
      <c r="DHU63" s="10"/>
      <c r="DHV63" s="10"/>
      <c r="DHW63" s="10"/>
      <c r="DHX63" s="10"/>
      <c r="DHY63" s="10"/>
      <c r="DHZ63" s="10"/>
      <c r="DIA63" s="10"/>
      <c r="DIB63" s="10"/>
      <c r="DIC63" s="10"/>
      <c r="DID63" s="10"/>
      <c r="DIE63" s="10"/>
      <c r="DIF63" s="10"/>
      <c r="DIG63" s="10"/>
      <c r="DIH63" s="10"/>
      <c r="DII63" s="10"/>
      <c r="DIJ63" s="10"/>
      <c r="DIK63" s="10"/>
      <c r="DIL63" s="10"/>
      <c r="DIM63" s="10"/>
      <c r="DIN63" s="10"/>
      <c r="DIO63" s="10"/>
      <c r="DIP63" s="10"/>
      <c r="DIQ63" s="10"/>
      <c r="DIR63" s="10"/>
      <c r="DIS63" s="10"/>
      <c r="DIT63" s="10"/>
      <c r="DIU63" s="10"/>
      <c r="DIV63" s="10"/>
      <c r="DIW63" s="10"/>
      <c r="DIX63" s="10"/>
      <c r="DIY63" s="10"/>
      <c r="DIZ63" s="10"/>
      <c r="DJA63" s="10"/>
      <c r="DJB63" s="10"/>
      <c r="DJC63" s="10"/>
      <c r="DJD63" s="10"/>
      <c r="DJE63" s="10"/>
      <c r="DJF63" s="10"/>
      <c r="DJG63" s="10"/>
      <c r="DJH63" s="10"/>
      <c r="DJI63" s="10"/>
      <c r="DJJ63" s="10"/>
      <c r="DJK63" s="10"/>
      <c r="DJL63" s="10"/>
      <c r="DJM63" s="10"/>
      <c r="DJN63" s="10"/>
      <c r="DJO63" s="10"/>
      <c r="DJP63" s="10"/>
      <c r="DJQ63" s="10"/>
      <c r="DJR63" s="10"/>
      <c r="DJS63" s="10"/>
      <c r="DJT63" s="10"/>
      <c r="DJU63" s="10"/>
      <c r="DJV63" s="10"/>
      <c r="DJW63" s="10"/>
      <c r="DJX63" s="10"/>
      <c r="DJY63" s="10"/>
      <c r="DJZ63" s="10"/>
      <c r="DKA63" s="10"/>
      <c r="DKB63" s="10"/>
      <c r="DKC63" s="10"/>
      <c r="DKD63" s="10"/>
      <c r="DKE63" s="10"/>
      <c r="DKF63" s="10"/>
      <c r="DKG63" s="10"/>
      <c r="DKH63" s="10"/>
      <c r="DKI63" s="10"/>
      <c r="DKJ63" s="10"/>
      <c r="DKK63" s="10"/>
      <c r="DKL63" s="10"/>
      <c r="DKM63" s="10"/>
      <c r="DKN63" s="10"/>
      <c r="DKO63" s="10"/>
      <c r="DKP63" s="10"/>
      <c r="DKQ63" s="10"/>
      <c r="DKR63" s="10"/>
      <c r="DKS63" s="10"/>
      <c r="DKT63" s="10"/>
      <c r="DKU63" s="10"/>
      <c r="DKV63" s="10"/>
      <c r="DKW63" s="10"/>
      <c r="DKX63" s="10"/>
      <c r="DKY63" s="10"/>
      <c r="DKZ63" s="10"/>
      <c r="DLA63" s="10"/>
      <c r="DLB63" s="10"/>
      <c r="DLC63" s="10"/>
      <c r="DLD63" s="10"/>
      <c r="DLE63" s="10"/>
      <c r="DLF63" s="10"/>
      <c r="DLG63" s="10"/>
      <c r="DLH63" s="10"/>
      <c r="DLI63" s="10"/>
      <c r="DLJ63" s="10"/>
      <c r="DLK63" s="10"/>
      <c r="DLL63" s="10"/>
      <c r="DLM63" s="10"/>
      <c r="DLN63" s="10"/>
      <c r="DLO63" s="10"/>
      <c r="DLP63" s="10"/>
      <c r="DLQ63" s="10"/>
      <c r="DLR63" s="10"/>
      <c r="DLS63" s="10"/>
      <c r="DLT63" s="10"/>
      <c r="DLU63" s="10"/>
      <c r="DLV63" s="10"/>
      <c r="DLW63" s="10"/>
      <c r="DLX63" s="10"/>
      <c r="DLY63" s="10"/>
      <c r="DLZ63" s="10"/>
      <c r="DMA63" s="10"/>
      <c r="DMB63" s="10"/>
      <c r="DMC63" s="10"/>
      <c r="DMD63" s="10"/>
      <c r="DME63" s="10"/>
      <c r="DMF63" s="10"/>
      <c r="DMG63" s="10"/>
      <c r="DMH63" s="10"/>
      <c r="DMI63" s="10"/>
      <c r="DMJ63" s="10"/>
      <c r="DMK63" s="10"/>
      <c r="DML63" s="10"/>
      <c r="DMM63" s="10"/>
      <c r="DMN63" s="10"/>
      <c r="DMO63" s="10"/>
      <c r="DMP63" s="10"/>
      <c r="DMQ63" s="10"/>
      <c r="DMR63" s="10"/>
      <c r="DMS63" s="10"/>
      <c r="DMT63" s="10"/>
      <c r="DMU63" s="10"/>
      <c r="DMV63" s="10"/>
      <c r="DMW63" s="10"/>
      <c r="DMX63" s="10"/>
      <c r="DMY63" s="10"/>
      <c r="DMZ63" s="10"/>
      <c r="DNA63" s="10"/>
      <c r="DNB63" s="10"/>
      <c r="DNC63" s="10"/>
      <c r="DND63" s="10"/>
      <c r="DNE63" s="10"/>
      <c r="DNF63" s="10"/>
      <c r="DNG63" s="10"/>
      <c r="DNH63" s="10"/>
      <c r="DNI63" s="10"/>
      <c r="DNJ63" s="10"/>
      <c r="DNK63" s="10"/>
      <c r="DNL63" s="10"/>
      <c r="DNM63" s="10"/>
      <c r="DNN63" s="10"/>
      <c r="DNO63" s="10"/>
      <c r="DNP63" s="10"/>
      <c r="DNQ63" s="10"/>
      <c r="DNR63" s="10"/>
      <c r="DNS63" s="10"/>
      <c r="DNT63" s="10"/>
      <c r="DNU63" s="10"/>
      <c r="DNV63" s="10"/>
      <c r="DNW63" s="10"/>
      <c r="DNX63" s="10"/>
      <c r="DNY63" s="10"/>
      <c r="DNZ63" s="10"/>
      <c r="DOA63" s="10"/>
      <c r="DOB63" s="10"/>
      <c r="DOC63" s="10"/>
      <c r="DOD63" s="10"/>
      <c r="DOE63" s="10"/>
      <c r="DOF63" s="10"/>
      <c r="DOG63" s="10"/>
      <c r="DOH63" s="10"/>
      <c r="DOI63" s="10"/>
      <c r="DOJ63" s="10"/>
      <c r="DOK63" s="10"/>
      <c r="DOL63" s="10"/>
      <c r="DOM63" s="10"/>
      <c r="DON63" s="10"/>
      <c r="DOO63" s="10"/>
      <c r="DOP63" s="10"/>
      <c r="DOQ63" s="10"/>
      <c r="DOR63" s="10"/>
      <c r="DOS63" s="10"/>
      <c r="DOT63" s="10"/>
      <c r="DOU63" s="10"/>
      <c r="DOV63" s="10"/>
      <c r="DOW63" s="10"/>
      <c r="DOX63" s="10"/>
      <c r="DOY63" s="10"/>
      <c r="DOZ63" s="10"/>
      <c r="DPA63" s="10"/>
      <c r="DPB63" s="10"/>
      <c r="DPC63" s="10"/>
      <c r="DPD63" s="10"/>
      <c r="DPE63" s="10"/>
      <c r="DPF63" s="10"/>
      <c r="DPG63" s="10"/>
      <c r="DPH63" s="10"/>
      <c r="DPI63" s="10"/>
      <c r="DPJ63" s="10"/>
      <c r="DPK63" s="10"/>
      <c r="DPL63" s="10"/>
      <c r="DPM63" s="10"/>
      <c r="DPN63" s="10"/>
      <c r="DPO63" s="10"/>
      <c r="DPP63" s="10"/>
      <c r="DPQ63" s="10"/>
      <c r="DPR63" s="10"/>
      <c r="DPS63" s="10"/>
      <c r="DPT63" s="10"/>
      <c r="DPU63" s="10"/>
      <c r="DPV63" s="10"/>
      <c r="DPW63" s="10"/>
      <c r="DPX63" s="10"/>
      <c r="DPY63" s="10"/>
      <c r="DPZ63" s="10"/>
      <c r="DQA63" s="10"/>
      <c r="DQB63" s="10"/>
      <c r="DQC63" s="10"/>
      <c r="DQD63" s="10"/>
      <c r="DQE63" s="10"/>
      <c r="DQF63" s="10"/>
      <c r="DQG63" s="10"/>
      <c r="DQH63" s="10"/>
      <c r="DQI63" s="10"/>
      <c r="DQJ63" s="10"/>
      <c r="DQK63" s="10"/>
      <c r="DQL63" s="10"/>
      <c r="DQM63" s="10"/>
      <c r="DQN63" s="10"/>
      <c r="DQO63" s="10"/>
      <c r="DQP63" s="10"/>
      <c r="DQQ63" s="10"/>
      <c r="DQR63" s="10"/>
      <c r="DQS63" s="10"/>
      <c r="DQT63" s="10"/>
      <c r="DQU63" s="10"/>
      <c r="DQV63" s="10"/>
      <c r="DQW63" s="10"/>
      <c r="DQX63" s="10"/>
      <c r="DQY63" s="10"/>
      <c r="DQZ63" s="10"/>
      <c r="DRA63" s="10"/>
      <c r="DRB63" s="10"/>
      <c r="DRC63" s="10"/>
      <c r="DRD63" s="10"/>
      <c r="DRE63" s="10"/>
      <c r="DRF63" s="10"/>
      <c r="DRG63" s="10"/>
      <c r="DRH63" s="10"/>
      <c r="DRI63" s="10"/>
      <c r="DRJ63" s="10"/>
      <c r="DRK63" s="10"/>
      <c r="DRL63" s="10"/>
      <c r="DRM63" s="10"/>
      <c r="DRN63" s="10"/>
      <c r="DRO63" s="10"/>
      <c r="DRP63" s="10"/>
      <c r="DRQ63" s="10"/>
      <c r="DRR63" s="10"/>
      <c r="DRS63" s="10"/>
      <c r="DRT63" s="10"/>
      <c r="DRU63" s="10"/>
      <c r="DRV63" s="10"/>
      <c r="DRW63" s="10"/>
      <c r="DRX63" s="10"/>
      <c r="DRY63" s="10"/>
      <c r="DRZ63" s="10"/>
      <c r="DSA63" s="10"/>
      <c r="DSB63" s="10"/>
      <c r="DSC63" s="10"/>
      <c r="DSD63" s="10"/>
      <c r="DSE63" s="10"/>
      <c r="DSF63" s="10"/>
      <c r="DSG63" s="10"/>
      <c r="DSH63" s="10"/>
      <c r="DSI63" s="10"/>
      <c r="DSJ63" s="10"/>
      <c r="DSK63" s="10"/>
      <c r="DSL63" s="10"/>
      <c r="DSM63" s="10"/>
      <c r="DSN63" s="10"/>
      <c r="DSO63" s="10"/>
      <c r="DSP63" s="10"/>
      <c r="DSQ63" s="10"/>
      <c r="DSR63" s="10"/>
      <c r="DSS63" s="10"/>
      <c r="DST63" s="10"/>
      <c r="DSU63" s="10"/>
      <c r="DSV63" s="10"/>
      <c r="DSW63" s="10"/>
      <c r="DSX63" s="10"/>
      <c r="DSY63" s="10"/>
      <c r="DSZ63" s="10"/>
      <c r="DTA63" s="10"/>
      <c r="DTB63" s="10"/>
      <c r="DTC63" s="10"/>
      <c r="DTD63" s="10"/>
      <c r="DTE63" s="10"/>
      <c r="DTF63" s="10"/>
      <c r="DTG63" s="10"/>
      <c r="DTH63" s="10"/>
      <c r="DTI63" s="10"/>
      <c r="DTJ63" s="10"/>
      <c r="DTK63" s="10"/>
      <c r="DTL63" s="10"/>
      <c r="DTM63" s="10"/>
      <c r="DTN63" s="10"/>
      <c r="DTO63" s="10"/>
      <c r="DTP63" s="10"/>
      <c r="DTQ63" s="10"/>
      <c r="DTR63" s="10"/>
      <c r="DTS63" s="10"/>
      <c r="DTT63" s="10"/>
      <c r="DTU63" s="10"/>
      <c r="DTV63" s="10"/>
      <c r="DTW63" s="10"/>
      <c r="DTX63" s="10"/>
      <c r="DTY63" s="10"/>
      <c r="DTZ63" s="10"/>
      <c r="DUA63" s="10"/>
      <c r="DUB63" s="10"/>
      <c r="DUC63" s="10"/>
      <c r="DUD63" s="10"/>
      <c r="DUE63" s="10"/>
      <c r="DUF63" s="10"/>
      <c r="DUG63" s="10"/>
      <c r="DUH63" s="10"/>
      <c r="DUI63" s="10"/>
      <c r="DUJ63" s="10"/>
      <c r="DUK63" s="10"/>
      <c r="DUL63" s="10"/>
      <c r="DUM63" s="10"/>
      <c r="DUN63" s="10"/>
      <c r="DUO63" s="10"/>
      <c r="DUP63" s="10"/>
      <c r="DUQ63" s="10"/>
      <c r="DUR63" s="10"/>
      <c r="DUS63" s="10"/>
      <c r="DUT63" s="10"/>
      <c r="DUU63" s="10"/>
      <c r="DUV63" s="10"/>
      <c r="DUW63" s="10"/>
      <c r="DUX63" s="10"/>
      <c r="DUY63" s="10"/>
      <c r="DUZ63" s="10"/>
      <c r="DVA63" s="10"/>
      <c r="DVB63" s="10"/>
      <c r="DVC63" s="10"/>
      <c r="DVD63" s="10"/>
      <c r="DVE63" s="10"/>
      <c r="DVF63" s="10"/>
      <c r="DVG63" s="10"/>
      <c r="DVH63" s="10"/>
      <c r="DVI63" s="10"/>
      <c r="DVJ63" s="10"/>
      <c r="DVK63" s="10"/>
      <c r="DVL63" s="10"/>
      <c r="DVM63" s="10"/>
      <c r="DVN63" s="10"/>
      <c r="DVO63" s="10"/>
      <c r="DVP63" s="10"/>
      <c r="DVQ63" s="10"/>
      <c r="DVR63" s="10"/>
      <c r="DVS63" s="10"/>
      <c r="DVT63" s="10"/>
      <c r="DVU63" s="10"/>
      <c r="DVV63" s="10"/>
      <c r="DVW63" s="10"/>
      <c r="DVX63" s="10"/>
      <c r="DVY63" s="10"/>
      <c r="DVZ63" s="10"/>
      <c r="DWA63" s="10"/>
      <c r="DWB63" s="10"/>
      <c r="DWC63" s="10"/>
      <c r="DWD63" s="10"/>
      <c r="DWE63" s="10"/>
      <c r="DWF63" s="10"/>
      <c r="DWG63" s="10"/>
      <c r="DWH63" s="10"/>
      <c r="DWI63" s="10"/>
      <c r="DWJ63" s="10"/>
      <c r="DWK63" s="10"/>
      <c r="DWL63" s="10"/>
      <c r="DWM63" s="10"/>
      <c r="DWN63" s="10"/>
      <c r="DWO63" s="10"/>
      <c r="DWP63" s="10"/>
      <c r="DWQ63" s="10"/>
      <c r="DWR63" s="10"/>
      <c r="DWS63" s="10"/>
      <c r="DWT63" s="10"/>
      <c r="DWU63" s="10"/>
      <c r="DWV63" s="10"/>
      <c r="DWW63" s="10"/>
      <c r="DWX63" s="10"/>
      <c r="DWY63" s="10"/>
      <c r="DWZ63" s="10"/>
      <c r="DXA63" s="10"/>
      <c r="DXB63" s="10"/>
      <c r="DXC63" s="10"/>
      <c r="DXD63" s="10"/>
      <c r="DXE63" s="10"/>
      <c r="DXF63" s="10"/>
      <c r="DXG63" s="10"/>
      <c r="DXH63" s="10"/>
      <c r="DXI63" s="10"/>
      <c r="DXJ63" s="10"/>
      <c r="DXK63" s="10"/>
      <c r="DXL63" s="10"/>
      <c r="DXM63" s="10"/>
      <c r="DXN63" s="10"/>
      <c r="DXO63" s="10"/>
      <c r="DXP63" s="10"/>
      <c r="DXQ63" s="10"/>
      <c r="DXR63" s="10"/>
      <c r="DXS63" s="10"/>
      <c r="DXT63" s="10"/>
      <c r="DXU63" s="10"/>
      <c r="DXV63" s="10"/>
      <c r="DXW63" s="10"/>
      <c r="DXX63" s="10"/>
      <c r="DXY63" s="10"/>
      <c r="DXZ63" s="10"/>
      <c r="DYA63" s="10"/>
      <c r="DYB63" s="10"/>
      <c r="DYC63" s="10"/>
      <c r="DYD63" s="10"/>
      <c r="DYE63" s="10"/>
      <c r="DYF63" s="10"/>
      <c r="DYG63" s="10"/>
      <c r="DYH63" s="10"/>
      <c r="DYI63" s="10"/>
      <c r="DYJ63" s="10"/>
      <c r="DYK63" s="10"/>
      <c r="DYL63" s="10"/>
      <c r="DYM63" s="10"/>
      <c r="DYN63" s="10"/>
      <c r="DYO63" s="10"/>
      <c r="DYP63" s="10"/>
      <c r="DYQ63" s="10"/>
      <c r="DYR63" s="10"/>
      <c r="DYS63" s="10"/>
      <c r="DYT63" s="10"/>
      <c r="DYU63" s="10"/>
      <c r="DYV63" s="10"/>
      <c r="DYW63" s="10"/>
      <c r="DYX63" s="10"/>
      <c r="DYY63" s="10"/>
      <c r="DYZ63" s="10"/>
      <c r="DZA63" s="10"/>
      <c r="DZB63" s="10"/>
      <c r="DZC63" s="10"/>
      <c r="DZD63" s="10"/>
      <c r="DZE63" s="10"/>
      <c r="DZF63" s="10"/>
      <c r="DZG63" s="10"/>
      <c r="DZH63" s="10"/>
      <c r="DZI63" s="10"/>
      <c r="DZJ63" s="10"/>
      <c r="DZK63" s="10"/>
      <c r="DZL63" s="10"/>
      <c r="DZM63" s="10"/>
      <c r="DZN63" s="10"/>
      <c r="DZO63" s="10"/>
      <c r="DZP63" s="10"/>
      <c r="DZQ63" s="10"/>
      <c r="DZR63" s="10"/>
      <c r="DZS63" s="10"/>
      <c r="DZT63" s="10"/>
      <c r="DZU63" s="10"/>
      <c r="DZV63" s="10"/>
      <c r="DZW63" s="10"/>
      <c r="DZX63" s="10"/>
      <c r="DZY63" s="10"/>
      <c r="DZZ63" s="10"/>
      <c r="EAA63" s="10"/>
      <c r="EAB63" s="10"/>
      <c r="EAC63" s="10"/>
      <c r="EAD63" s="10"/>
      <c r="EAE63" s="10"/>
      <c r="EAF63" s="10"/>
      <c r="EAG63" s="10"/>
      <c r="EAH63" s="10"/>
      <c r="EAI63" s="10"/>
      <c r="EAJ63" s="10"/>
      <c r="EAK63" s="10"/>
      <c r="EAL63" s="10"/>
      <c r="EAM63" s="10"/>
      <c r="EAN63" s="10"/>
      <c r="EAO63" s="10"/>
      <c r="EAP63" s="10"/>
      <c r="EAQ63" s="10"/>
      <c r="EAR63" s="10"/>
      <c r="EAS63" s="10"/>
      <c r="EAT63" s="10"/>
      <c r="EAU63" s="10"/>
      <c r="EAV63" s="10"/>
      <c r="EAW63" s="10"/>
      <c r="EAX63" s="10"/>
      <c r="EAY63" s="10"/>
      <c r="EAZ63" s="10"/>
      <c r="EBA63" s="10"/>
      <c r="EBB63" s="10"/>
      <c r="EBC63" s="10"/>
      <c r="EBD63" s="10"/>
      <c r="EBE63" s="10"/>
      <c r="EBF63" s="10"/>
      <c r="EBG63" s="10"/>
      <c r="EBH63" s="10"/>
      <c r="EBI63" s="10"/>
      <c r="EBJ63" s="10"/>
      <c r="EBK63" s="10"/>
      <c r="EBL63" s="10"/>
      <c r="EBM63" s="10"/>
      <c r="EBN63" s="10"/>
      <c r="EBO63" s="10"/>
      <c r="EBP63" s="10"/>
      <c r="EBQ63" s="10"/>
      <c r="EBR63" s="10"/>
      <c r="EBS63" s="10"/>
      <c r="EBT63" s="10"/>
      <c r="EBU63" s="10"/>
      <c r="EBV63" s="10"/>
      <c r="EBW63" s="10"/>
      <c r="EBX63" s="10"/>
      <c r="EBY63" s="10"/>
      <c r="EBZ63" s="10"/>
      <c r="ECA63" s="10"/>
      <c r="ECB63" s="10"/>
      <c r="ECC63" s="10"/>
      <c r="ECD63" s="10"/>
      <c r="ECE63" s="10"/>
      <c r="ECF63" s="10"/>
      <c r="ECG63" s="10"/>
      <c r="ECH63" s="10"/>
      <c r="ECI63" s="10"/>
      <c r="ECJ63" s="10"/>
      <c r="ECK63" s="10"/>
      <c r="ECL63" s="10"/>
      <c r="ECM63" s="10"/>
      <c r="ECN63" s="10"/>
      <c r="ECO63" s="10"/>
      <c r="ECP63" s="10"/>
      <c r="ECQ63" s="10"/>
      <c r="ECR63" s="10"/>
      <c r="ECS63" s="10"/>
      <c r="ECT63" s="10"/>
      <c r="ECU63" s="10"/>
      <c r="ECV63" s="10"/>
      <c r="ECW63" s="10"/>
      <c r="ECX63" s="10"/>
      <c r="ECY63" s="10"/>
      <c r="ECZ63" s="10"/>
      <c r="EDA63" s="10"/>
      <c r="EDB63" s="10"/>
      <c r="EDC63" s="10"/>
      <c r="EDD63" s="10"/>
      <c r="EDE63" s="10"/>
      <c r="EDF63" s="10"/>
      <c r="EDG63" s="10"/>
      <c r="EDH63" s="10"/>
      <c r="EDI63" s="10"/>
      <c r="EDJ63" s="10"/>
      <c r="EDK63" s="10"/>
      <c r="EDL63" s="10"/>
      <c r="EDM63" s="10"/>
      <c r="EDN63" s="10"/>
      <c r="EDO63" s="10"/>
      <c r="EDP63" s="10"/>
      <c r="EDQ63" s="10"/>
      <c r="EDR63" s="10"/>
      <c r="EDS63" s="10"/>
      <c r="EDT63" s="10"/>
      <c r="EDU63" s="10"/>
      <c r="EDV63" s="10"/>
      <c r="EDW63" s="10"/>
      <c r="EDX63" s="10"/>
      <c r="EDY63" s="10"/>
      <c r="EDZ63" s="10"/>
      <c r="EEA63" s="10"/>
      <c r="EEB63" s="10"/>
      <c r="EEC63" s="10"/>
      <c r="EED63" s="10"/>
      <c r="EEE63" s="10"/>
      <c r="EEF63" s="10"/>
      <c r="EEG63" s="10"/>
      <c r="EEH63" s="10"/>
      <c r="EEI63" s="10"/>
      <c r="EEJ63" s="10"/>
      <c r="EEK63" s="10"/>
      <c r="EEL63" s="10"/>
      <c r="EEM63" s="10"/>
      <c r="EEN63" s="10"/>
      <c r="EEO63" s="10"/>
      <c r="EEP63" s="10"/>
      <c r="EEQ63" s="10"/>
      <c r="EER63" s="10"/>
      <c r="EES63" s="10"/>
      <c r="EET63" s="10"/>
      <c r="EEU63" s="10"/>
      <c r="EEV63" s="10"/>
      <c r="EEW63" s="10"/>
      <c r="EEX63" s="10"/>
      <c r="EEY63" s="10"/>
      <c r="EEZ63" s="10"/>
      <c r="EFA63" s="10"/>
      <c r="EFB63" s="10"/>
      <c r="EFC63" s="10"/>
      <c r="EFD63" s="10"/>
      <c r="EFE63" s="10"/>
      <c r="EFF63" s="10"/>
      <c r="EFG63" s="10"/>
      <c r="EFH63" s="10"/>
      <c r="EFI63" s="10"/>
      <c r="EFJ63" s="10"/>
      <c r="EFK63" s="10"/>
      <c r="EFL63" s="10"/>
      <c r="EFM63" s="10"/>
      <c r="EFN63" s="10"/>
      <c r="EFO63" s="10"/>
      <c r="EFP63" s="10"/>
      <c r="EFQ63" s="10"/>
      <c r="EFR63" s="10"/>
      <c r="EFS63" s="10"/>
      <c r="EFT63" s="10"/>
      <c r="EFU63" s="10"/>
      <c r="EFV63" s="10"/>
      <c r="EFW63" s="10"/>
      <c r="EFX63" s="10"/>
      <c r="EFY63" s="10"/>
      <c r="EFZ63" s="10"/>
      <c r="EGA63" s="10"/>
      <c r="EGB63" s="10"/>
      <c r="EGC63" s="10"/>
      <c r="EGD63" s="10"/>
      <c r="EGE63" s="10"/>
      <c r="EGF63" s="10"/>
      <c r="EGG63" s="10"/>
      <c r="EGH63" s="10"/>
      <c r="EGI63" s="10"/>
      <c r="EGJ63" s="10"/>
      <c r="EGK63" s="10"/>
      <c r="EGL63" s="10"/>
      <c r="EGM63" s="10"/>
      <c r="EGN63" s="10"/>
      <c r="EGO63" s="10"/>
      <c r="EGP63" s="10"/>
      <c r="EGQ63" s="10"/>
      <c r="EGR63" s="10"/>
      <c r="EGS63" s="10"/>
      <c r="EGT63" s="10"/>
      <c r="EGU63" s="10"/>
      <c r="EGV63" s="10"/>
      <c r="EGW63" s="10"/>
      <c r="EGX63" s="10"/>
      <c r="EGY63" s="10"/>
      <c r="EGZ63" s="10"/>
      <c r="EHA63" s="10"/>
      <c r="EHB63" s="10"/>
      <c r="EHC63" s="10"/>
      <c r="EHD63" s="10"/>
      <c r="EHE63" s="10"/>
      <c r="EHF63" s="10"/>
      <c r="EHG63" s="10"/>
      <c r="EHH63" s="10"/>
      <c r="EHI63" s="10"/>
      <c r="EHJ63" s="10"/>
      <c r="EHK63" s="10"/>
      <c r="EHL63" s="10"/>
      <c r="EHM63" s="10"/>
      <c r="EHN63" s="10"/>
      <c r="EHO63" s="10"/>
      <c r="EHP63" s="10"/>
      <c r="EHQ63" s="10"/>
      <c r="EHR63" s="10"/>
      <c r="EHS63" s="10"/>
      <c r="EHT63" s="10"/>
      <c r="EHU63" s="10"/>
      <c r="EHV63" s="10"/>
      <c r="EHW63" s="10"/>
      <c r="EHX63" s="10"/>
      <c r="EHY63" s="10"/>
      <c r="EHZ63" s="10"/>
      <c r="EIA63" s="10"/>
      <c r="EIB63" s="10"/>
      <c r="EIC63" s="10"/>
      <c r="EID63" s="10"/>
      <c r="EIE63" s="10"/>
      <c r="EIF63" s="10"/>
      <c r="EIG63" s="10"/>
      <c r="EIH63" s="10"/>
      <c r="EII63" s="10"/>
      <c r="EIJ63" s="10"/>
      <c r="EIK63" s="10"/>
      <c r="EIL63" s="10"/>
      <c r="EIM63" s="10"/>
      <c r="EIN63" s="10"/>
      <c r="EIO63" s="10"/>
      <c r="EIP63" s="10"/>
      <c r="EIQ63" s="10"/>
      <c r="EIR63" s="10"/>
      <c r="EIS63" s="10"/>
      <c r="EIT63" s="10"/>
      <c r="EIU63" s="10"/>
      <c r="EIV63" s="10"/>
      <c r="EIW63" s="10"/>
      <c r="EIX63" s="10"/>
      <c r="EIY63" s="10"/>
      <c r="EIZ63" s="10"/>
      <c r="EJA63" s="10"/>
      <c r="EJB63" s="10"/>
      <c r="EJC63" s="10"/>
      <c r="EJD63" s="10"/>
      <c r="EJE63" s="10"/>
      <c r="EJF63" s="10"/>
      <c r="EJG63" s="10"/>
      <c r="EJH63" s="10"/>
      <c r="EJI63" s="10"/>
      <c r="EJJ63" s="10"/>
      <c r="EJK63" s="10"/>
      <c r="EJL63" s="10"/>
      <c r="EJM63" s="10"/>
      <c r="EJN63" s="10"/>
      <c r="EJO63" s="10"/>
      <c r="EJP63" s="10"/>
      <c r="EJQ63" s="10"/>
      <c r="EJR63" s="10"/>
      <c r="EJS63" s="10"/>
      <c r="EJT63" s="10"/>
      <c r="EJU63" s="10"/>
      <c r="EJV63" s="10"/>
      <c r="EJW63" s="10"/>
      <c r="EJX63" s="10"/>
      <c r="EJY63" s="10"/>
      <c r="EJZ63" s="10"/>
      <c r="EKA63" s="10"/>
      <c r="EKB63" s="10"/>
      <c r="EKC63" s="10"/>
      <c r="EKD63" s="10"/>
      <c r="EKE63" s="10"/>
      <c r="EKF63" s="10"/>
      <c r="EKG63" s="10"/>
      <c r="EKH63" s="10"/>
      <c r="EKI63" s="10"/>
      <c r="EKJ63" s="10"/>
      <c r="EKK63" s="10"/>
      <c r="EKL63" s="10"/>
      <c r="EKM63" s="10"/>
      <c r="EKN63" s="10"/>
      <c r="EKO63" s="10"/>
      <c r="EKP63" s="10"/>
      <c r="EKQ63" s="10"/>
      <c r="EKR63" s="10"/>
      <c r="EKS63" s="10"/>
      <c r="EKT63" s="10"/>
      <c r="EKU63" s="10"/>
      <c r="EKV63" s="10"/>
      <c r="EKW63" s="10"/>
      <c r="EKX63" s="10"/>
      <c r="EKY63" s="10"/>
      <c r="EKZ63" s="10"/>
      <c r="ELA63" s="10"/>
      <c r="ELB63" s="10"/>
      <c r="ELC63" s="10"/>
      <c r="ELD63" s="10"/>
      <c r="ELE63" s="10"/>
      <c r="ELF63" s="10"/>
      <c r="ELG63" s="10"/>
      <c r="ELH63" s="10"/>
      <c r="ELI63" s="10"/>
      <c r="ELJ63" s="10"/>
      <c r="ELK63" s="10"/>
      <c r="ELL63" s="10"/>
      <c r="ELM63" s="10"/>
      <c r="ELN63" s="10"/>
      <c r="ELO63" s="10"/>
      <c r="ELP63" s="10"/>
      <c r="ELQ63" s="10"/>
      <c r="ELR63" s="10"/>
      <c r="ELS63" s="10"/>
      <c r="ELT63" s="10"/>
      <c r="ELU63" s="10"/>
      <c r="ELV63" s="10"/>
      <c r="ELW63" s="10"/>
      <c r="ELX63" s="10"/>
      <c r="ELY63" s="10"/>
      <c r="ELZ63" s="10"/>
      <c r="EMA63" s="10"/>
      <c r="EMB63" s="10"/>
      <c r="EMC63" s="10"/>
      <c r="EMD63" s="10"/>
      <c r="EME63" s="10"/>
      <c r="EMF63" s="10"/>
      <c r="EMG63" s="10"/>
      <c r="EMH63" s="10"/>
      <c r="EMI63" s="10"/>
      <c r="EMJ63" s="10"/>
      <c r="EMK63" s="10"/>
      <c r="EML63" s="10"/>
      <c r="EMM63" s="10"/>
      <c r="EMN63" s="10"/>
      <c r="EMO63" s="10"/>
      <c r="EMP63" s="10"/>
      <c r="EMQ63" s="10"/>
      <c r="EMR63" s="10"/>
      <c r="EMS63" s="10"/>
      <c r="EMT63" s="10"/>
      <c r="EMU63" s="10"/>
      <c r="EMV63" s="10"/>
      <c r="EMW63" s="10"/>
      <c r="EMX63" s="10"/>
      <c r="EMY63" s="10"/>
      <c r="EMZ63" s="10"/>
      <c r="ENA63" s="10"/>
      <c r="ENB63" s="10"/>
      <c r="ENC63" s="10"/>
      <c r="END63" s="10"/>
      <c r="ENE63" s="10"/>
      <c r="ENF63" s="10"/>
      <c r="ENG63" s="10"/>
      <c r="ENH63" s="10"/>
      <c r="ENI63" s="10"/>
      <c r="ENJ63" s="10"/>
      <c r="ENK63" s="10"/>
      <c r="ENL63" s="10"/>
      <c r="ENM63" s="10"/>
      <c r="ENN63" s="10"/>
      <c r="ENO63" s="10"/>
      <c r="ENP63" s="10"/>
      <c r="ENQ63" s="10"/>
      <c r="ENR63" s="10"/>
      <c r="ENS63" s="10"/>
      <c r="ENT63" s="10"/>
      <c r="ENU63" s="10"/>
      <c r="ENV63" s="10"/>
      <c r="ENW63" s="10"/>
      <c r="ENX63" s="10"/>
      <c r="ENY63" s="10"/>
      <c r="ENZ63" s="10"/>
      <c r="EOA63" s="10"/>
      <c r="EOB63" s="10"/>
      <c r="EOC63" s="10"/>
      <c r="EOD63" s="10"/>
      <c r="EOE63" s="10"/>
      <c r="EOF63" s="10"/>
      <c r="EOG63" s="10"/>
      <c r="EOH63" s="10"/>
      <c r="EOI63" s="10"/>
      <c r="EOJ63" s="10"/>
      <c r="EOK63" s="10"/>
      <c r="EOL63" s="10"/>
      <c r="EOM63" s="10"/>
      <c r="EON63" s="10"/>
      <c r="EOO63" s="10"/>
      <c r="EOP63" s="10"/>
      <c r="EOQ63" s="10"/>
      <c r="EOR63" s="10"/>
      <c r="EOS63" s="10"/>
      <c r="EOT63" s="10"/>
      <c r="EOU63" s="10"/>
      <c r="EOV63" s="10"/>
      <c r="EOW63" s="10"/>
      <c r="EOX63" s="10"/>
      <c r="EOY63" s="10"/>
      <c r="EOZ63" s="10"/>
      <c r="EPA63" s="10"/>
      <c r="EPB63" s="10"/>
      <c r="EPC63" s="10"/>
      <c r="EPD63" s="10"/>
      <c r="EPE63" s="10"/>
      <c r="EPF63" s="10"/>
      <c r="EPG63" s="10"/>
      <c r="EPH63" s="10"/>
      <c r="EPI63" s="10"/>
      <c r="EPJ63" s="10"/>
      <c r="EPK63" s="10"/>
      <c r="EPL63" s="10"/>
      <c r="EPM63" s="10"/>
      <c r="EPN63" s="10"/>
      <c r="EPO63" s="10"/>
      <c r="EPP63" s="10"/>
      <c r="EPQ63" s="10"/>
      <c r="EPR63" s="10"/>
      <c r="EPS63" s="10"/>
      <c r="EPT63" s="10"/>
      <c r="EPU63" s="10"/>
      <c r="EPV63" s="10"/>
      <c r="EPW63" s="10"/>
      <c r="EPX63" s="10"/>
      <c r="EPY63" s="10"/>
      <c r="EPZ63" s="10"/>
      <c r="EQA63" s="10"/>
      <c r="EQB63" s="10"/>
      <c r="EQC63" s="10"/>
      <c r="EQD63" s="10"/>
      <c r="EQE63" s="10"/>
      <c r="EQF63" s="10"/>
      <c r="EQG63" s="10"/>
      <c r="EQH63" s="10"/>
      <c r="EQI63" s="10"/>
      <c r="EQJ63" s="10"/>
      <c r="EQK63" s="10"/>
      <c r="EQL63" s="10"/>
      <c r="EQM63" s="10"/>
      <c r="EQN63" s="10"/>
      <c r="EQO63" s="10"/>
      <c r="EQP63" s="10"/>
      <c r="EQQ63" s="10"/>
      <c r="EQR63" s="10"/>
      <c r="EQS63" s="10"/>
      <c r="EQT63" s="10"/>
      <c r="EQU63" s="10"/>
      <c r="EQV63" s="10"/>
      <c r="EQW63" s="10"/>
      <c r="EQX63" s="10"/>
      <c r="EQY63" s="10"/>
      <c r="EQZ63" s="10"/>
      <c r="ERA63" s="10"/>
      <c r="ERB63" s="10"/>
      <c r="ERC63" s="10"/>
      <c r="ERD63" s="10"/>
      <c r="ERE63" s="10"/>
      <c r="ERF63" s="10"/>
      <c r="ERG63" s="10"/>
      <c r="ERH63" s="10"/>
      <c r="ERI63" s="10"/>
      <c r="ERJ63" s="10"/>
      <c r="ERK63" s="10"/>
      <c r="ERL63" s="10"/>
      <c r="ERM63" s="10"/>
      <c r="ERN63" s="10"/>
      <c r="ERO63" s="10"/>
      <c r="ERP63" s="10"/>
      <c r="ERQ63" s="10"/>
      <c r="ERR63" s="10"/>
      <c r="ERS63" s="10"/>
      <c r="ERT63" s="10"/>
      <c r="ERU63" s="10"/>
      <c r="ERV63" s="10"/>
      <c r="ERW63" s="10"/>
      <c r="ERX63" s="10"/>
      <c r="ERY63" s="10"/>
      <c r="ERZ63" s="10"/>
      <c r="ESA63" s="10"/>
      <c r="ESB63" s="10"/>
      <c r="ESC63" s="10"/>
      <c r="ESD63" s="10"/>
      <c r="ESE63" s="10"/>
      <c r="ESF63" s="10"/>
      <c r="ESG63" s="10"/>
      <c r="ESH63" s="10"/>
      <c r="ESI63" s="10"/>
      <c r="ESJ63" s="10"/>
      <c r="ESK63" s="10"/>
      <c r="ESL63" s="10"/>
      <c r="ESM63" s="10"/>
      <c r="ESN63" s="10"/>
      <c r="ESO63" s="10"/>
      <c r="ESP63" s="10"/>
      <c r="ESQ63" s="10"/>
      <c r="ESR63" s="10"/>
      <c r="ESS63" s="10"/>
      <c r="EST63" s="10"/>
      <c r="ESU63" s="10"/>
      <c r="ESV63" s="10"/>
      <c r="ESW63" s="10"/>
      <c r="ESX63" s="10"/>
      <c r="ESY63" s="10"/>
      <c r="ESZ63" s="10"/>
      <c r="ETA63" s="10"/>
      <c r="ETB63" s="10"/>
      <c r="ETC63" s="10"/>
      <c r="ETD63" s="10"/>
      <c r="ETE63" s="10"/>
      <c r="ETF63" s="10"/>
      <c r="ETG63" s="10"/>
      <c r="ETH63" s="10"/>
      <c r="ETI63" s="10"/>
      <c r="ETJ63" s="10"/>
      <c r="ETK63" s="10"/>
      <c r="ETL63" s="10"/>
      <c r="ETM63" s="10"/>
      <c r="ETN63" s="10"/>
      <c r="ETO63" s="10"/>
      <c r="ETP63" s="10"/>
      <c r="ETQ63" s="10"/>
      <c r="ETR63" s="10"/>
      <c r="ETS63" s="10"/>
      <c r="ETT63" s="10"/>
      <c r="ETU63" s="10"/>
      <c r="ETV63" s="10"/>
      <c r="ETW63" s="10"/>
      <c r="ETX63" s="10"/>
      <c r="ETY63" s="10"/>
      <c r="ETZ63" s="10"/>
      <c r="EUA63" s="10"/>
      <c r="EUB63" s="10"/>
      <c r="EUC63" s="10"/>
      <c r="EUD63" s="10"/>
      <c r="EUE63" s="10"/>
      <c r="EUF63" s="10"/>
      <c r="EUG63" s="10"/>
      <c r="EUH63" s="10"/>
      <c r="EUI63" s="10"/>
      <c r="EUJ63" s="10"/>
      <c r="EUK63" s="10"/>
      <c r="EUL63" s="10"/>
      <c r="EUM63" s="10"/>
      <c r="EUN63" s="10"/>
      <c r="EUO63" s="10"/>
      <c r="EUP63" s="10"/>
      <c r="EUQ63" s="10"/>
      <c r="EUR63" s="10"/>
      <c r="EUS63" s="10"/>
      <c r="EUT63" s="10"/>
      <c r="EUU63" s="10"/>
      <c r="EUV63" s="10"/>
      <c r="EUW63" s="10"/>
      <c r="EUX63" s="10"/>
      <c r="EUY63" s="10"/>
      <c r="EUZ63" s="10"/>
      <c r="EVA63" s="10"/>
      <c r="EVB63" s="10"/>
      <c r="EVC63" s="10"/>
      <c r="EVD63" s="10"/>
      <c r="EVE63" s="10"/>
      <c r="EVF63" s="10"/>
      <c r="EVG63" s="10"/>
      <c r="EVH63" s="10"/>
      <c r="EVI63" s="10"/>
      <c r="EVJ63" s="10"/>
      <c r="EVK63" s="10"/>
      <c r="EVL63" s="10"/>
      <c r="EVM63" s="10"/>
      <c r="EVN63" s="10"/>
      <c r="EVO63" s="10"/>
      <c r="EVP63" s="10"/>
      <c r="EVQ63" s="10"/>
      <c r="EVR63" s="10"/>
      <c r="EVS63" s="10"/>
      <c r="EVT63" s="10"/>
      <c r="EVU63" s="10"/>
      <c r="EVV63" s="10"/>
      <c r="EVW63" s="10"/>
      <c r="EVX63" s="10"/>
      <c r="EVY63" s="10"/>
      <c r="EVZ63" s="10"/>
      <c r="EWA63" s="10"/>
      <c r="EWB63" s="10"/>
      <c r="EWC63" s="10"/>
      <c r="EWD63" s="10"/>
      <c r="EWE63" s="10"/>
      <c r="EWF63" s="10"/>
      <c r="EWG63" s="10"/>
      <c r="EWH63" s="10"/>
      <c r="EWI63" s="10"/>
      <c r="EWJ63" s="10"/>
      <c r="EWK63" s="10"/>
      <c r="EWL63" s="10"/>
      <c r="EWM63" s="10"/>
      <c r="EWN63" s="10"/>
      <c r="EWO63" s="10"/>
      <c r="EWP63" s="10"/>
      <c r="EWQ63" s="10"/>
      <c r="EWR63" s="10"/>
      <c r="EWS63" s="10"/>
      <c r="EWT63" s="10"/>
      <c r="EWU63" s="10"/>
      <c r="EWV63" s="10"/>
      <c r="EWW63" s="10"/>
      <c r="EWX63" s="10"/>
      <c r="EWY63" s="10"/>
      <c r="EWZ63" s="10"/>
      <c r="EXA63" s="10"/>
      <c r="EXB63" s="10"/>
      <c r="EXC63" s="10"/>
      <c r="EXD63" s="10"/>
      <c r="EXE63" s="10"/>
      <c r="EXF63" s="10"/>
      <c r="EXG63" s="10"/>
      <c r="EXH63" s="10"/>
      <c r="EXI63" s="10"/>
      <c r="EXJ63" s="10"/>
      <c r="EXK63" s="10"/>
      <c r="EXL63" s="10"/>
      <c r="EXM63" s="10"/>
      <c r="EXN63" s="10"/>
      <c r="EXO63" s="10"/>
      <c r="EXP63" s="10"/>
      <c r="EXQ63" s="10"/>
      <c r="EXR63" s="10"/>
      <c r="EXS63" s="10"/>
      <c r="EXT63" s="10"/>
      <c r="EXU63" s="10"/>
      <c r="EXV63" s="10"/>
      <c r="EXW63" s="10"/>
      <c r="EXX63" s="10"/>
      <c r="EXY63" s="10"/>
      <c r="EXZ63" s="10"/>
      <c r="EYA63" s="10"/>
      <c r="EYB63" s="10"/>
      <c r="EYC63" s="10"/>
      <c r="EYD63" s="10"/>
      <c r="EYE63" s="10"/>
      <c r="EYF63" s="10"/>
      <c r="EYG63" s="10"/>
      <c r="EYH63" s="10"/>
      <c r="EYI63" s="10"/>
      <c r="EYJ63" s="10"/>
      <c r="EYK63" s="10"/>
      <c r="EYL63" s="10"/>
      <c r="EYM63" s="10"/>
      <c r="EYN63" s="10"/>
      <c r="EYO63" s="10"/>
      <c r="EYP63" s="10"/>
      <c r="EYQ63" s="10"/>
      <c r="EYR63" s="10"/>
      <c r="EYS63" s="10"/>
      <c r="EYT63" s="10"/>
      <c r="EYU63" s="10"/>
      <c r="EYV63" s="10"/>
      <c r="EYW63" s="10"/>
      <c r="EYX63" s="10"/>
      <c r="EYY63" s="10"/>
      <c r="EYZ63" s="10"/>
      <c r="EZA63" s="10"/>
      <c r="EZB63" s="10"/>
      <c r="EZC63" s="10"/>
      <c r="EZD63" s="10"/>
      <c r="EZE63" s="10"/>
      <c r="EZF63" s="10"/>
      <c r="EZG63" s="10"/>
      <c r="EZH63" s="10"/>
      <c r="EZI63" s="10"/>
      <c r="EZJ63" s="10"/>
      <c r="EZK63" s="10"/>
      <c r="EZL63" s="10"/>
      <c r="EZM63" s="10"/>
      <c r="EZN63" s="10"/>
      <c r="EZO63" s="10"/>
      <c r="EZP63" s="10"/>
      <c r="EZQ63" s="10"/>
      <c r="EZR63" s="10"/>
      <c r="EZS63" s="10"/>
      <c r="EZT63" s="10"/>
      <c r="EZU63" s="10"/>
      <c r="EZV63" s="10"/>
      <c r="EZW63" s="10"/>
      <c r="EZX63" s="10"/>
      <c r="EZY63" s="10"/>
      <c r="EZZ63" s="10"/>
      <c r="FAA63" s="10"/>
      <c r="FAB63" s="10"/>
      <c r="FAC63" s="10"/>
      <c r="FAD63" s="10"/>
      <c r="FAE63" s="10"/>
      <c r="FAF63" s="10"/>
      <c r="FAG63" s="10"/>
      <c r="FAH63" s="10"/>
      <c r="FAI63" s="10"/>
      <c r="FAJ63" s="10"/>
      <c r="FAK63" s="10"/>
      <c r="FAL63" s="10"/>
      <c r="FAM63" s="10"/>
      <c r="FAN63" s="10"/>
      <c r="FAO63" s="10"/>
      <c r="FAP63" s="10"/>
      <c r="FAQ63" s="10"/>
      <c r="FAR63" s="10"/>
      <c r="FAS63" s="10"/>
      <c r="FAT63" s="10"/>
      <c r="FAU63" s="10"/>
      <c r="FAV63" s="10"/>
      <c r="FAW63" s="10"/>
      <c r="FAX63" s="10"/>
      <c r="FAY63" s="10"/>
      <c r="FAZ63" s="10"/>
      <c r="FBA63" s="10"/>
      <c r="FBB63" s="10"/>
      <c r="FBC63" s="10"/>
      <c r="FBD63" s="10"/>
      <c r="FBE63" s="10"/>
      <c r="FBF63" s="10"/>
      <c r="FBG63" s="10"/>
      <c r="FBH63" s="10"/>
      <c r="FBI63" s="10"/>
      <c r="FBJ63" s="10"/>
      <c r="FBK63" s="10"/>
      <c r="FBL63" s="10"/>
      <c r="FBM63" s="10"/>
      <c r="FBN63" s="10"/>
      <c r="FBO63" s="10"/>
      <c r="FBP63" s="10"/>
      <c r="FBQ63" s="10"/>
      <c r="FBR63" s="10"/>
      <c r="FBS63" s="10"/>
      <c r="FBT63" s="10"/>
      <c r="FBU63" s="10"/>
      <c r="FBV63" s="10"/>
      <c r="FBW63" s="10"/>
      <c r="FBX63" s="10"/>
      <c r="FBY63" s="10"/>
      <c r="FBZ63" s="10"/>
      <c r="FCA63" s="10"/>
      <c r="FCB63" s="10"/>
      <c r="FCC63" s="10"/>
      <c r="FCD63" s="10"/>
      <c r="FCE63" s="10"/>
      <c r="FCF63" s="10"/>
      <c r="FCG63" s="10"/>
      <c r="FCH63" s="10"/>
      <c r="FCI63" s="10"/>
      <c r="FCJ63" s="10"/>
      <c r="FCK63" s="10"/>
      <c r="FCL63" s="10"/>
      <c r="FCM63" s="10"/>
      <c r="FCN63" s="10"/>
      <c r="FCO63" s="10"/>
      <c r="FCP63" s="10"/>
      <c r="FCQ63" s="10"/>
      <c r="FCR63" s="10"/>
      <c r="FCS63" s="10"/>
      <c r="FCT63" s="10"/>
      <c r="FCU63" s="10"/>
      <c r="FCV63" s="10"/>
      <c r="FCW63" s="10"/>
      <c r="FCX63" s="10"/>
      <c r="FCY63" s="10"/>
      <c r="FCZ63" s="10"/>
      <c r="FDA63" s="10"/>
      <c r="FDB63" s="10"/>
      <c r="FDC63" s="10"/>
      <c r="FDD63" s="10"/>
      <c r="FDE63" s="10"/>
      <c r="FDF63" s="10"/>
      <c r="FDG63" s="10"/>
      <c r="FDH63" s="10"/>
      <c r="FDI63" s="10"/>
      <c r="FDJ63" s="10"/>
      <c r="FDK63" s="10"/>
      <c r="FDL63" s="10"/>
      <c r="FDM63" s="10"/>
      <c r="FDN63" s="10"/>
      <c r="FDO63" s="10"/>
      <c r="FDP63" s="10"/>
      <c r="FDQ63" s="10"/>
      <c r="FDR63" s="10"/>
      <c r="FDS63" s="10"/>
      <c r="FDT63" s="10"/>
      <c r="FDU63" s="10"/>
      <c r="FDV63" s="10"/>
      <c r="FDW63" s="10"/>
      <c r="FDX63" s="10"/>
      <c r="FDY63" s="10"/>
      <c r="FDZ63" s="10"/>
      <c r="FEA63" s="10"/>
      <c r="FEB63" s="10"/>
      <c r="FEC63" s="10"/>
      <c r="FED63" s="10"/>
      <c r="FEE63" s="10"/>
      <c r="FEF63" s="10"/>
      <c r="FEG63" s="10"/>
      <c r="FEH63" s="10"/>
      <c r="FEI63" s="10"/>
      <c r="FEJ63" s="10"/>
      <c r="FEK63" s="10"/>
      <c r="FEL63" s="10"/>
      <c r="FEM63" s="10"/>
      <c r="FEN63" s="10"/>
      <c r="FEO63" s="10"/>
      <c r="FEP63" s="10"/>
      <c r="FEQ63" s="10"/>
      <c r="FER63" s="10"/>
      <c r="FES63" s="10"/>
      <c r="FET63" s="10"/>
      <c r="FEU63" s="10"/>
      <c r="FEV63" s="10"/>
      <c r="FEW63" s="10"/>
      <c r="FEX63" s="10"/>
      <c r="FEY63" s="10"/>
      <c r="FEZ63" s="10"/>
      <c r="FFA63" s="10"/>
      <c r="FFB63" s="10"/>
      <c r="FFC63" s="10"/>
      <c r="FFD63" s="10"/>
      <c r="FFE63" s="10"/>
      <c r="FFF63" s="10"/>
      <c r="FFG63" s="10"/>
      <c r="FFH63" s="10"/>
      <c r="FFI63" s="10"/>
      <c r="FFJ63" s="10"/>
      <c r="FFK63" s="10"/>
      <c r="FFL63" s="10"/>
      <c r="FFM63" s="10"/>
      <c r="FFN63" s="10"/>
      <c r="FFO63" s="10"/>
      <c r="FFP63" s="10"/>
      <c r="FFQ63" s="10"/>
      <c r="FFR63" s="10"/>
      <c r="FFS63" s="10"/>
      <c r="FFT63" s="10"/>
      <c r="FFU63" s="10"/>
      <c r="FFV63" s="10"/>
      <c r="FFW63" s="10"/>
      <c r="FFX63" s="10"/>
      <c r="FFY63" s="10"/>
      <c r="FFZ63" s="10"/>
      <c r="FGA63" s="10"/>
      <c r="FGB63" s="10"/>
      <c r="FGC63" s="10"/>
      <c r="FGD63" s="10"/>
      <c r="FGE63" s="10"/>
      <c r="FGF63" s="10"/>
      <c r="FGG63" s="10"/>
      <c r="FGH63" s="10"/>
      <c r="FGI63" s="10"/>
      <c r="FGJ63" s="10"/>
      <c r="FGK63" s="10"/>
      <c r="FGL63" s="10"/>
      <c r="FGM63" s="10"/>
      <c r="FGN63" s="10"/>
      <c r="FGO63" s="10"/>
      <c r="FGP63" s="10"/>
      <c r="FGQ63" s="10"/>
      <c r="FGR63" s="10"/>
      <c r="FGS63" s="10"/>
      <c r="FGT63" s="10"/>
      <c r="FGU63" s="10"/>
      <c r="FGV63" s="10"/>
      <c r="FGW63" s="10"/>
      <c r="FGX63" s="10"/>
      <c r="FGY63" s="10"/>
      <c r="FGZ63" s="10"/>
      <c r="FHA63" s="10"/>
      <c r="FHB63" s="10"/>
      <c r="FHC63" s="10"/>
      <c r="FHD63" s="10"/>
      <c r="FHE63" s="10"/>
      <c r="FHF63" s="10"/>
      <c r="FHG63" s="10"/>
      <c r="FHH63" s="10"/>
      <c r="FHI63" s="10"/>
      <c r="FHJ63" s="10"/>
      <c r="FHK63" s="10"/>
      <c r="FHL63" s="10"/>
      <c r="FHM63" s="10"/>
      <c r="FHN63" s="10"/>
      <c r="FHO63" s="10"/>
      <c r="FHP63" s="10"/>
      <c r="FHQ63" s="10"/>
      <c r="FHR63" s="10"/>
      <c r="FHS63" s="10"/>
      <c r="FHT63" s="10"/>
      <c r="FHU63" s="10"/>
      <c r="FHV63" s="10"/>
      <c r="FHW63" s="10"/>
      <c r="FHX63" s="10"/>
      <c r="FHY63" s="10"/>
      <c r="FHZ63" s="10"/>
      <c r="FIA63" s="10"/>
      <c r="FIB63" s="10"/>
      <c r="FIC63" s="10"/>
      <c r="FID63" s="10"/>
      <c r="FIE63" s="10"/>
      <c r="FIF63" s="10"/>
      <c r="FIG63" s="10"/>
      <c r="FIH63" s="10"/>
      <c r="FII63" s="10"/>
      <c r="FIJ63" s="10"/>
      <c r="FIK63" s="10"/>
      <c r="FIL63" s="10"/>
      <c r="FIM63" s="10"/>
      <c r="FIN63" s="10"/>
      <c r="FIO63" s="10"/>
      <c r="FIP63" s="10"/>
      <c r="FIQ63" s="10"/>
      <c r="FIR63" s="10"/>
      <c r="FIS63" s="10"/>
      <c r="FIT63" s="10"/>
      <c r="FIU63" s="10"/>
      <c r="FIV63" s="10"/>
      <c r="FIW63" s="10"/>
      <c r="FIX63" s="10"/>
      <c r="FIY63" s="10"/>
      <c r="FIZ63" s="10"/>
      <c r="FJA63" s="10"/>
      <c r="FJB63" s="10"/>
      <c r="FJC63" s="10"/>
      <c r="FJD63" s="10"/>
      <c r="FJE63" s="10"/>
      <c r="FJF63" s="10"/>
      <c r="FJG63" s="10"/>
      <c r="FJH63" s="10"/>
      <c r="FJI63" s="10"/>
      <c r="FJJ63" s="10"/>
      <c r="FJK63" s="10"/>
      <c r="FJL63" s="10"/>
      <c r="FJM63" s="10"/>
      <c r="FJN63" s="10"/>
      <c r="FJO63" s="10"/>
      <c r="FJP63" s="10"/>
      <c r="FJQ63" s="10"/>
      <c r="FJR63" s="10"/>
      <c r="FJS63" s="10"/>
      <c r="FJT63" s="10"/>
      <c r="FJU63" s="10"/>
      <c r="FJV63" s="10"/>
      <c r="FJW63" s="10"/>
      <c r="FJX63" s="10"/>
      <c r="FJY63" s="10"/>
      <c r="FJZ63" s="10"/>
      <c r="FKA63" s="10"/>
      <c r="FKB63" s="10"/>
      <c r="FKC63" s="10"/>
      <c r="FKD63" s="10"/>
      <c r="FKE63" s="10"/>
      <c r="FKF63" s="10"/>
      <c r="FKG63" s="10"/>
      <c r="FKH63" s="10"/>
      <c r="FKI63" s="10"/>
      <c r="FKJ63" s="10"/>
      <c r="FKK63" s="10"/>
      <c r="FKL63" s="10"/>
      <c r="FKM63" s="10"/>
      <c r="FKN63" s="10"/>
      <c r="FKO63" s="10"/>
      <c r="FKP63" s="10"/>
      <c r="FKQ63" s="10"/>
      <c r="FKR63" s="10"/>
      <c r="FKS63" s="10"/>
      <c r="FKT63" s="10"/>
      <c r="FKU63" s="10"/>
      <c r="FKV63" s="10"/>
      <c r="FKW63" s="10"/>
      <c r="FKX63" s="10"/>
      <c r="FKY63" s="10"/>
      <c r="FKZ63" s="10"/>
      <c r="FLA63" s="10"/>
      <c r="FLB63" s="10"/>
      <c r="FLC63" s="10"/>
      <c r="FLD63" s="10"/>
      <c r="FLE63" s="10"/>
      <c r="FLF63" s="10"/>
      <c r="FLG63" s="10"/>
      <c r="FLH63" s="10"/>
      <c r="FLI63" s="10"/>
      <c r="FLJ63" s="10"/>
      <c r="FLK63" s="10"/>
      <c r="FLL63" s="10"/>
      <c r="FLM63" s="10"/>
      <c r="FLN63" s="10"/>
      <c r="FLO63" s="10"/>
      <c r="FLP63" s="10"/>
      <c r="FLQ63" s="10"/>
      <c r="FLR63" s="10"/>
      <c r="FLS63" s="10"/>
      <c r="FLT63" s="10"/>
      <c r="FLU63" s="10"/>
      <c r="FLV63" s="10"/>
      <c r="FLW63" s="10"/>
      <c r="FLX63" s="10"/>
      <c r="FLY63" s="10"/>
      <c r="FLZ63" s="10"/>
      <c r="FMA63" s="10"/>
      <c r="FMB63" s="10"/>
      <c r="FMC63" s="10"/>
      <c r="FMD63" s="10"/>
      <c r="FME63" s="10"/>
      <c r="FMF63" s="10"/>
      <c r="FMG63" s="10"/>
      <c r="FMH63" s="10"/>
      <c r="FMI63" s="10"/>
      <c r="FMJ63" s="10"/>
      <c r="FMK63" s="10"/>
      <c r="FML63" s="10"/>
      <c r="FMM63" s="10"/>
      <c r="FMN63" s="10"/>
      <c r="FMO63" s="10"/>
      <c r="FMP63" s="10"/>
      <c r="FMQ63" s="10"/>
      <c r="FMR63" s="10"/>
      <c r="FMS63" s="10"/>
      <c r="FMT63" s="10"/>
      <c r="FMU63" s="10"/>
      <c r="FMV63" s="10"/>
      <c r="FMW63" s="10"/>
      <c r="FMX63" s="10"/>
      <c r="FMY63" s="10"/>
      <c r="FMZ63" s="10"/>
      <c r="FNA63" s="10"/>
      <c r="FNB63" s="10"/>
      <c r="FNC63" s="10"/>
      <c r="FND63" s="10"/>
      <c r="FNE63" s="10"/>
      <c r="FNF63" s="10"/>
      <c r="FNG63" s="10"/>
      <c r="FNH63" s="10"/>
      <c r="FNI63" s="10"/>
      <c r="FNJ63" s="10"/>
      <c r="FNK63" s="10"/>
      <c r="FNL63" s="10"/>
      <c r="FNM63" s="10"/>
      <c r="FNN63" s="10"/>
      <c r="FNO63" s="10"/>
      <c r="FNP63" s="10"/>
      <c r="FNQ63" s="10"/>
      <c r="FNR63" s="10"/>
      <c r="FNS63" s="10"/>
      <c r="FNT63" s="10"/>
      <c r="FNU63" s="10"/>
      <c r="FNV63" s="10"/>
      <c r="FNW63" s="10"/>
      <c r="FNX63" s="10"/>
      <c r="FNY63" s="10"/>
      <c r="FNZ63" s="10"/>
      <c r="FOA63" s="10"/>
      <c r="FOB63" s="10"/>
      <c r="FOC63" s="10"/>
      <c r="FOD63" s="10"/>
      <c r="FOE63" s="10"/>
      <c r="FOF63" s="10"/>
      <c r="FOG63" s="10"/>
      <c r="FOH63" s="10"/>
      <c r="FOI63" s="10"/>
      <c r="FOJ63" s="10"/>
      <c r="FOK63" s="10"/>
      <c r="FOL63" s="10"/>
      <c r="FOM63" s="10"/>
      <c r="FON63" s="10"/>
      <c r="FOO63" s="10"/>
      <c r="FOP63" s="10"/>
      <c r="FOQ63" s="10"/>
      <c r="FOR63" s="10"/>
      <c r="FOS63" s="10"/>
      <c r="FOT63" s="10"/>
      <c r="FOU63" s="10"/>
      <c r="FOV63" s="10"/>
      <c r="FOW63" s="10"/>
      <c r="FOX63" s="10"/>
      <c r="FOY63" s="10"/>
      <c r="FOZ63" s="10"/>
      <c r="FPA63" s="10"/>
      <c r="FPB63" s="10"/>
      <c r="FPC63" s="10"/>
      <c r="FPD63" s="10"/>
      <c r="FPE63" s="10"/>
      <c r="FPF63" s="10"/>
      <c r="FPG63" s="10"/>
      <c r="FPH63" s="10"/>
      <c r="FPI63" s="10"/>
      <c r="FPJ63" s="10"/>
      <c r="FPK63" s="10"/>
      <c r="FPL63" s="10"/>
      <c r="FPM63" s="10"/>
      <c r="FPN63" s="10"/>
      <c r="FPO63" s="10"/>
      <c r="FPP63" s="10"/>
      <c r="FPQ63" s="10"/>
      <c r="FPR63" s="10"/>
      <c r="FPS63" s="10"/>
      <c r="FPT63" s="10"/>
      <c r="FPU63" s="10"/>
      <c r="FPV63" s="10"/>
      <c r="FPW63" s="10"/>
      <c r="FPX63" s="10"/>
      <c r="FPY63" s="10"/>
      <c r="FPZ63" s="10"/>
      <c r="FQA63" s="10"/>
      <c r="FQB63" s="10"/>
      <c r="FQC63" s="10"/>
      <c r="FQD63" s="10"/>
      <c r="FQE63" s="10"/>
      <c r="FQF63" s="10"/>
      <c r="FQG63" s="10"/>
      <c r="FQH63" s="10"/>
      <c r="FQI63" s="10"/>
      <c r="FQJ63" s="10"/>
      <c r="FQK63" s="10"/>
      <c r="FQL63" s="10"/>
      <c r="FQM63" s="10"/>
      <c r="FQN63" s="10"/>
      <c r="FQO63" s="10"/>
      <c r="FQP63" s="10"/>
      <c r="FQQ63" s="10"/>
      <c r="FQR63" s="10"/>
      <c r="FQS63" s="10"/>
      <c r="FQT63" s="10"/>
      <c r="FQU63" s="10"/>
      <c r="FQV63" s="10"/>
      <c r="FQW63" s="10"/>
      <c r="FQX63" s="10"/>
      <c r="FQY63" s="10"/>
      <c r="FQZ63" s="10"/>
      <c r="FRA63" s="10"/>
      <c r="FRB63" s="10"/>
      <c r="FRC63" s="10"/>
      <c r="FRD63" s="10"/>
      <c r="FRE63" s="10"/>
      <c r="FRF63" s="10"/>
      <c r="FRG63" s="10"/>
      <c r="FRH63" s="10"/>
      <c r="FRI63" s="10"/>
      <c r="FRJ63" s="10"/>
      <c r="FRK63" s="10"/>
      <c r="FRL63" s="10"/>
      <c r="FRM63" s="10"/>
      <c r="FRN63" s="10"/>
      <c r="FRO63" s="10"/>
      <c r="FRP63" s="10"/>
      <c r="FRQ63" s="10"/>
      <c r="FRR63" s="10"/>
      <c r="FRS63" s="10"/>
      <c r="FRT63" s="10"/>
      <c r="FRU63" s="10"/>
      <c r="FRV63" s="10"/>
      <c r="FRW63" s="10"/>
      <c r="FRX63" s="10"/>
      <c r="FRY63" s="10"/>
      <c r="FRZ63" s="10"/>
      <c r="FSA63" s="10"/>
      <c r="FSB63" s="10"/>
      <c r="FSC63" s="10"/>
      <c r="FSD63" s="10"/>
      <c r="FSE63" s="10"/>
      <c r="FSF63" s="10"/>
      <c r="FSG63" s="10"/>
      <c r="FSH63" s="10"/>
      <c r="FSI63" s="10"/>
      <c r="FSJ63" s="10"/>
      <c r="FSK63" s="10"/>
      <c r="FSL63" s="10"/>
      <c r="FSM63" s="10"/>
      <c r="FSN63" s="10"/>
      <c r="FSO63" s="10"/>
      <c r="FSP63" s="10"/>
      <c r="FSQ63" s="10"/>
      <c r="FSR63" s="10"/>
      <c r="FSS63" s="10"/>
      <c r="FST63" s="10"/>
      <c r="FSU63" s="10"/>
      <c r="FSV63" s="10"/>
      <c r="FSW63" s="10"/>
      <c r="FSX63" s="10"/>
      <c r="FSY63" s="10"/>
      <c r="FSZ63" s="10"/>
      <c r="FTA63" s="10"/>
      <c r="FTB63" s="10"/>
      <c r="FTC63" s="10"/>
      <c r="FTD63" s="10"/>
      <c r="FTE63" s="10"/>
      <c r="FTF63" s="10"/>
      <c r="FTG63" s="10"/>
      <c r="FTH63" s="10"/>
      <c r="FTI63" s="10"/>
      <c r="FTJ63" s="10"/>
      <c r="FTK63" s="10"/>
      <c r="FTL63" s="10"/>
      <c r="FTM63" s="10"/>
      <c r="FTN63" s="10"/>
      <c r="FTO63" s="10"/>
      <c r="FTP63" s="10"/>
      <c r="FTQ63" s="10"/>
      <c r="FTR63" s="10"/>
      <c r="FTS63" s="10"/>
      <c r="FTT63" s="10"/>
      <c r="FTU63" s="10"/>
      <c r="FTV63" s="10"/>
      <c r="FTW63" s="10"/>
      <c r="FTX63" s="10"/>
      <c r="FTY63" s="10"/>
      <c r="FTZ63" s="10"/>
      <c r="FUA63" s="10"/>
      <c r="FUB63" s="10"/>
      <c r="FUC63" s="10"/>
      <c r="FUD63" s="10"/>
      <c r="FUE63" s="10"/>
      <c r="FUF63" s="10"/>
      <c r="FUG63" s="10"/>
      <c r="FUH63" s="10"/>
      <c r="FUI63" s="10"/>
      <c r="FUJ63" s="10"/>
      <c r="FUK63" s="10"/>
      <c r="FUL63" s="10"/>
      <c r="FUM63" s="10"/>
      <c r="FUN63" s="10"/>
      <c r="FUO63" s="10"/>
      <c r="FUP63" s="10"/>
      <c r="FUQ63" s="10"/>
      <c r="FUR63" s="10"/>
      <c r="FUS63" s="10"/>
      <c r="FUT63" s="10"/>
      <c r="FUU63" s="10"/>
      <c r="FUV63" s="10"/>
      <c r="FUW63" s="10"/>
      <c r="FUX63" s="10"/>
      <c r="FUY63" s="10"/>
      <c r="FUZ63" s="10"/>
      <c r="FVA63" s="10"/>
      <c r="FVB63" s="10"/>
      <c r="FVC63" s="10"/>
      <c r="FVD63" s="10"/>
      <c r="FVE63" s="10"/>
      <c r="FVF63" s="10"/>
      <c r="FVG63" s="10"/>
      <c r="FVH63" s="10"/>
      <c r="FVI63" s="10"/>
      <c r="FVJ63" s="10"/>
      <c r="FVK63" s="10"/>
      <c r="FVL63" s="10"/>
      <c r="FVM63" s="10"/>
      <c r="FVN63" s="10"/>
      <c r="FVO63" s="10"/>
      <c r="FVP63" s="10"/>
      <c r="FVQ63" s="10"/>
      <c r="FVR63" s="10"/>
      <c r="FVS63" s="10"/>
      <c r="FVT63" s="10"/>
      <c r="FVU63" s="10"/>
      <c r="FVV63" s="10"/>
      <c r="FVW63" s="10"/>
      <c r="FVX63" s="10"/>
      <c r="FVY63" s="10"/>
      <c r="FVZ63" s="10"/>
      <c r="FWA63" s="10"/>
      <c r="FWB63" s="10"/>
      <c r="FWC63" s="10"/>
      <c r="FWD63" s="10"/>
      <c r="FWE63" s="10"/>
      <c r="FWF63" s="10"/>
      <c r="FWG63" s="10"/>
      <c r="FWH63" s="10"/>
      <c r="FWI63" s="10"/>
      <c r="FWJ63" s="10"/>
      <c r="FWK63" s="10"/>
      <c r="FWL63" s="10"/>
      <c r="FWM63" s="10"/>
      <c r="FWN63" s="10"/>
      <c r="FWO63" s="10"/>
      <c r="FWP63" s="10"/>
      <c r="FWQ63" s="10"/>
      <c r="FWR63" s="10"/>
      <c r="FWS63" s="10"/>
      <c r="FWT63" s="10"/>
      <c r="FWU63" s="10"/>
      <c r="FWV63" s="10"/>
      <c r="FWW63" s="10"/>
      <c r="FWX63" s="10"/>
      <c r="FWY63" s="10"/>
      <c r="FWZ63" s="10"/>
      <c r="FXA63" s="10"/>
      <c r="FXB63" s="10"/>
      <c r="FXC63" s="10"/>
      <c r="FXD63" s="10"/>
      <c r="FXE63" s="10"/>
      <c r="FXF63" s="10"/>
      <c r="FXG63" s="10"/>
      <c r="FXH63" s="10"/>
      <c r="FXI63" s="10"/>
      <c r="FXJ63" s="10"/>
      <c r="FXK63" s="10"/>
      <c r="FXL63" s="10"/>
      <c r="FXM63" s="10"/>
      <c r="FXN63" s="10"/>
      <c r="FXO63" s="10"/>
      <c r="FXP63" s="10"/>
      <c r="FXQ63" s="10"/>
      <c r="FXR63" s="10"/>
      <c r="FXS63" s="10"/>
      <c r="FXT63" s="10"/>
      <c r="FXU63" s="10"/>
      <c r="FXV63" s="10"/>
      <c r="FXW63" s="10"/>
      <c r="FXX63" s="10"/>
      <c r="FXY63" s="10"/>
      <c r="FXZ63" s="10"/>
      <c r="FYA63" s="10"/>
      <c r="FYB63" s="10"/>
      <c r="FYC63" s="10"/>
      <c r="FYD63" s="10"/>
      <c r="FYE63" s="10"/>
      <c r="FYF63" s="10"/>
      <c r="FYG63" s="10"/>
      <c r="FYH63" s="10"/>
      <c r="FYI63" s="10"/>
      <c r="FYJ63" s="10"/>
      <c r="FYK63" s="10"/>
      <c r="FYL63" s="10"/>
      <c r="FYM63" s="10"/>
      <c r="FYN63" s="10"/>
      <c r="FYO63" s="10"/>
      <c r="FYP63" s="10"/>
      <c r="FYQ63" s="10"/>
      <c r="FYR63" s="10"/>
      <c r="FYS63" s="10"/>
      <c r="FYT63" s="10"/>
      <c r="FYU63" s="10"/>
      <c r="FYV63" s="10"/>
      <c r="FYW63" s="10"/>
      <c r="FYX63" s="10"/>
      <c r="FYY63" s="10"/>
      <c r="FYZ63" s="10"/>
      <c r="FZA63" s="10"/>
      <c r="FZB63" s="10"/>
      <c r="FZC63" s="10"/>
      <c r="FZD63" s="10"/>
      <c r="FZE63" s="10"/>
      <c r="FZF63" s="10"/>
      <c r="FZG63" s="10"/>
      <c r="FZH63" s="10"/>
      <c r="FZI63" s="10"/>
      <c r="FZJ63" s="10"/>
      <c r="FZK63" s="10"/>
      <c r="FZL63" s="10"/>
      <c r="FZM63" s="10"/>
      <c r="FZN63" s="10"/>
      <c r="FZO63" s="10"/>
      <c r="FZP63" s="10"/>
      <c r="FZQ63" s="10"/>
      <c r="FZR63" s="10"/>
      <c r="FZS63" s="10"/>
      <c r="FZT63" s="10"/>
      <c r="FZU63" s="10"/>
      <c r="FZV63" s="10"/>
      <c r="FZW63" s="10"/>
      <c r="FZX63" s="10"/>
      <c r="FZY63" s="10"/>
      <c r="FZZ63" s="10"/>
      <c r="GAA63" s="10"/>
      <c r="GAB63" s="10"/>
      <c r="GAC63" s="10"/>
      <c r="GAD63" s="10"/>
      <c r="GAE63" s="10"/>
      <c r="GAF63" s="10"/>
      <c r="GAG63" s="10"/>
      <c r="GAH63" s="10"/>
      <c r="GAI63" s="10"/>
      <c r="GAJ63" s="10"/>
      <c r="GAK63" s="10"/>
      <c r="GAL63" s="10"/>
      <c r="GAM63" s="10"/>
      <c r="GAN63" s="10"/>
      <c r="GAO63" s="10"/>
      <c r="GAP63" s="10"/>
      <c r="GAQ63" s="10"/>
      <c r="GAR63" s="10"/>
      <c r="GAS63" s="10"/>
      <c r="GAT63" s="10"/>
      <c r="GAU63" s="10"/>
      <c r="GAV63" s="10"/>
      <c r="GAW63" s="10"/>
      <c r="GAX63" s="10"/>
      <c r="GAY63" s="10"/>
      <c r="GAZ63" s="10"/>
      <c r="GBA63" s="10"/>
      <c r="GBB63" s="10"/>
      <c r="GBC63" s="10"/>
      <c r="GBD63" s="10"/>
      <c r="GBE63" s="10"/>
      <c r="GBF63" s="10"/>
      <c r="GBG63" s="10"/>
      <c r="GBH63" s="10"/>
      <c r="GBI63" s="10"/>
      <c r="GBJ63" s="10"/>
      <c r="GBK63" s="10"/>
      <c r="GBL63" s="10"/>
      <c r="GBM63" s="10"/>
      <c r="GBN63" s="10"/>
      <c r="GBO63" s="10"/>
      <c r="GBP63" s="10"/>
      <c r="GBQ63" s="10"/>
      <c r="GBR63" s="10"/>
      <c r="GBS63" s="10"/>
      <c r="GBT63" s="10"/>
      <c r="GBU63" s="10"/>
      <c r="GBV63" s="10"/>
      <c r="GBW63" s="10"/>
      <c r="GBX63" s="10"/>
      <c r="GBY63" s="10"/>
      <c r="GBZ63" s="10"/>
      <c r="GCA63" s="10"/>
      <c r="GCB63" s="10"/>
      <c r="GCC63" s="10"/>
      <c r="GCD63" s="10"/>
      <c r="GCE63" s="10"/>
      <c r="GCF63" s="10"/>
      <c r="GCG63" s="10"/>
      <c r="GCH63" s="10"/>
      <c r="GCI63" s="10"/>
      <c r="GCJ63" s="10"/>
      <c r="GCK63" s="10"/>
      <c r="GCL63" s="10"/>
      <c r="GCM63" s="10"/>
      <c r="GCN63" s="10"/>
      <c r="GCO63" s="10"/>
      <c r="GCP63" s="10"/>
      <c r="GCQ63" s="10"/>
      <c r="GCR63" s="10"/>
      <c r="GCS63" s="10"/>
      <c r="GCT63" s="10"/>
      <c r="GCU63" s="10"/>
      <c r="GCV63" s="10"/>
      <c r="GCW63" s="10"/>
      <c r="GCX63" s="10"/>
      <c r="GCY63" s="10"/>
      <c r="GCZ63" s="10"/>
      <c r="GDA63" s="10"/>
      <c r="GDB63" s="10"/>
      <c r="GDC63" s="10"/>
      <c r="GDD63" s="10"/>
      <c r="GDE63" s="10"/>
      <c r="GDF63" s="10"/>
      <c r="GDG63" s="10"/>
      <c r="GDH63" s="10"/>
      <c r="GDI63" s="10"/>
      <c r="GDJ63" s="10"/>
      <c r="GDK63" s="10"/>
      <c r="GDL63" s="10"/>
      <c r="GDM63" s="10"/>
      <c r="GDN63" s="10"/>
      <c r="GDO63" s="10"/>
      <c r="GDP63" s="10"/>
      <c r="GDQ63" s="10"/>
      <c r="GDR63" s="10"/>
      <c r="GDS63" s="10"/>
      <c r="GDT63" s="10"/>
      <c r="GDU63" s="10"/>
      <c r="GDV63" s="10"/>
      <c r="GDW63" s="10"/>
      <c r="GDX63" s="10"/>
      <c r="GDY63" s="10"/>
      <c r="GDZ63" s="10"/>
      <c r="GEA63" s="10"/>
      <c r="GEB63" s="10"/>
      <c r="GEC63" s="10"/>
      <c r="GED63" s="10"/>
      <c r="GEE63" s="10"/>
      <c r="GEF63" s="10"/>
      <c r="GEG63" s="10"/>
      <c r="GEH63" s="10"/>
      <c r="GEI63" s="10"/>
      <c r="GEJ63" s="10"/>
      <c r="GEK63" s="10"/>
      <c r="GEL63" s="10"/>
      <c r="GEM63" s="10"/>
      <c r="GEN63" s="10"/>
      <c r="GEO63" s="10"/>
      <c r="GEP63" s="10"/>
      <c r="GEQ63" s="10"/>
      <c r="GER63" s="10"/>
      <c r="GES63" s="10"/>
      <c r="GET63" s="10"/>
      <c r="GEU63" s="10"/>
      <c r="GEV63" s="10"/>
      <c r="GEW63" s="10"/>
      <c r="GEX63" s="10"/>
      <c r="GEY63" s="10"/>
      <c r="GEZ63" s="10"/>
      <c r="GFA63" s="10"/>
      <c r="GFB63" s="10"/>
      <c r="GFC63" s="10"/>
      <c r="GFD63" s="10"/>
      <c r="GFE63" s="10"/>
      <c r="GFF63" s="10"/>
      <c r="GFG63" s="10"/>
      <c r="GFH63" s="10"/>
      <c r="GFI63" s="10"/>
      <c r="GFJ63" s="10"/>
      <c r="GFK63" s="10"/>
      <c r="GFL63" s="10"/>
      <c r="GFM63" s="10"/>
      <c r="GFN63" s="10"/>
      <c r="GFO63" s="10"/>
      <c r="GFP63" s="10"/>
      <c r="GFQ63" s="10"/>
      <c r="GFR63" s="10"/>
      <c r="GFS63" s="10"/>
      <c r="GFT63" s="10"/>
      <c r="GFU63" s="10"/>
      <c r="GFV63" s="10"/>
      <c r="GFW63" s="10"/>
      <c r="GFX63" s="10"/>
      <c r="GFY63" s="10"/>
      <c r="GFZ63" s="10"/>
      <c r="GGA63" s="10"/>
      <c r="GGB63" s="10"/>
      <c r="GGC63" s="10"/>
      <c r="GGD63" s="10"/>
      <c r="GGE63" s="10"/>
      <c r="GGF63" s="10"/>
      <c r="GGG63" s="10"/>
      <c r="GGH63" s="10"/>
      <c r="GGI63" s="10"/>
      <c r="GGJ63" s="10"/>
      <c r="GGK63" s="10"/>
      <c r="GGL63" s="10"/>
      <c r="GGM63" s="10"/>
      <c r="GGN63" s="10"/>
      <c r="GGO63" s="10"/>
      <c r="GGP63" s="10"/>
      <c r="GGQ63" s="10"/>
      <c r="GGR63" s="10"/>
      <c r="GGS63" s="10"/>
      <c r="GGT63" s="10"/>
      <c r="GGU63" s="10"/>
      <c r="GGV63" s="10"/>
      <c r="GGW63" s="10"/>
      <c r="GGX63" s="10"/>
      <c r="GGY63" s="10"/>
      <c r="GGZ63" s="10"/>
      <c r="GHA63" s="10"/>
      <c r="GHB63" s="10"/>
      <c r="GHC63" s="10"/>
      <c r="GHD63" s="10"/>
      <c r="GHE63" s="10"/>
      <c r="GHF63" s="10"/>
      <c r="GHG63" s="10"/>
      <c r="GHH63" s="10"/>
      <c r="GHI63" s="10"/>
      <c r="GHJ63" s="10"/>
      <c r="GHK63" s="10"/>
      <c r="GHL63" s="10"/>
      <c r="GHM63" s="10"/>
      <c r="GHN63" s="10"/>
      <c r="GHO63" s="10"/>
      <c r="GHP63" s="10"/>
      <c r="GHQ63" s="10"/>
      <c r="GHR63" s="10"/>
      <c r="GHS63" s="10"/>
      <c r="GHT63" s="10"/>
      <c r="GHU63" s="10"/>
      <c r="GHV63" s="10"/>
      <c r="GHW63" s="10"/>
      <c r="GHX63" s="10"/>
      <c r="GHY63" s="10"/>
      <c r="GHZ63" s="10"/>
      <c r="GIA63" s="10"/>
      <c r="GIB63" s="10"/>
      <c r="GIC63" s="10"/>
      <c r="GID63" s="10"/>
      <c r="GIE63" s="10"/>
      <c r="GIF63" s="10"/>
      <c r="GIG63" s="10"/>
      <c r="GIH63" s="10"/>
      <c r="GII63" s="10"/>
      <c r="GIJ63" s="10"/>
      <c r="GIK63" s="10"/>
      <c r="GIL63" s="10"/>
      <c r="GIM63" s="10"/>
      <c r="GIN63" s="10"/>
      <c r="GIO63" s="10"/>
      <c r="GIP63" s="10"/>
      <c r="GIQ63" s="10"/>
      <c r="GIR63" s="10"/>
      <c r="GIS63" s="10"/>
      <c r="GIT63" s="10"/>
      <c r="GIU63" s="10"/>
      <c r="GIV63" s="10"/>
      <c r="GIW63" s="10"/>
      <c r="GIX63" s="10"/>
      <c r="GIY63" s="10"/>
      <c r="GIZ63" s="10"/>
      <c r="GJA63" s="10"/>
      <c r="GJB63" s="10"/>
      <c r="GJC63" s="10"/>
      <c r="GJD63" s="10"/>
      <c r="GJE63" s="10"/>
      <c r="GJF63" s="10"/>
      <c r="GJG63" s="10"/>
      <c r="GJH63" s="10"/>
      <c r="GJI63" s="10"/>
      <c r="GJJ63" s="10"/>
      <c r="GJK63" s="10"/>
      <c r="GJL63" s="10"/>
      <c r="GJM63" s="10"/>
      <c r="GJN63" s="10"/>
      <c r="GJO63" s="10"/>
      <c r="GJP63" s="10"/>
      <c r="GJQ63" s="10"/>
      <c r="GJR63" s="10"/>
      <c r="GJS63" s="10"/>
      <c r="GJT63" s="10"/>
      <c r="GJU63" s="10"/>
      <c r="GJV63" s="10"/>
      <c r="GJW63" s="10"/>
      <c r="GJX63" s="10"/>
      <c r="GJY63" s="10"/>
      <c r="GJZ63" s="10"/>
      <c r="GKA63" s="10"/>
      <c r="GKB63" s="10"/>
      <c r="GKC63" s="10"/>
      <c r="GKD63" s="10"/>
      <c r="GKE63" s="10"/>
      <c r="GKF63" s="10"/>
      <c r="GKG63" s="10"/>
      <c r="GKH63" s="10"/>
      <c r="GKI63" s="10"/>
      <c r="GKJ63" s="10"/>
      <c r="GKK63" s="10"/>
      <c r="GKL63" s="10"/>
      <c r="GKM63" s="10"/>
      <c r="GKN63" s="10"/>
      <c r="GKO63" s="10"/>
      <c r="GKP63" s="10"/>
      <c r="GKQ63" s="10"/>
      <c r="GKR63" s="10"/>
      <c r="GKS63" s="10"/>
      <c r="GKT63" s="10"/>
      <c r="GKU63" s="10"/>
      <c r="GKV63" s="10"/>
      <c r="GKW63" s="10"/>
      <c r="GKX63" s="10"/>
      <c r="GKY63" s="10"/>
      <c r="GKZ63" s="10"/>
      <c r="GLA63" s="10"/>
      <c r="GLB63" s="10"/>
      <c r="GLC63" s="10"/>
      <c r="GLD63" s="10"/>
      <c r="GLE63" s="10"/>
      <c r="GLF63" s="10"/>
      <c r="GLG63" s="10"/>
      <c r="GLH63" s="10"/>
      <c r="GLI63" s="10"/>
      <c r="GLJ63" s="10"/>
      <c r="GLK63" s="10"/>
      <c r="GLL63" s="10"/>
      <c r="GLM63" s="10"/>
      <c r="GLN63" s="10"/>
      <c r="GLO63" s="10"/>
      <c r="GLP63" s="10"/>
      <c r="GLQ63" s="10"/>
      <c r="GLR63" s="10"/>
      <c r="GLS63" s="10"/>
      <c r="GLT63" s="10"/>
      <c r="GLU63" s="10"/>
      <c r="GLV63" s="10"/>
      <c r="GLW63" s="10"/>
      <c r="GLX63" s="10"/>
      <c r="GLY63" s="10"/>
      <c r="GLZ63" s="10"/>
      <c r="GMA63" s="10"/>
      <c r="GMB63" s="10"/>
      <c r="GMC63" s="10"/>
      <c r="GMD63" s="10"/>
      <c r="GME63" s="10"/>
      <c r="GMF63" s="10"/>
      <c r="GMG63" s="10"/>
      <c r="GMH63" s="10"/>
      <c r="GMI63" s="10"/>
      <c r="GMJ63" s="10"/>
      <c r="GMK63" s="10"/>
      <c r="GML63" s="10"/>
      <c r="GMM63" s="10"/>
      <c r="GMN63" s="10"/>
      <c r="GMO63" s="10"/>
      <c r="GMP63" s="10"/>
      <c r="GMQ63" s="10"/>
      <c r="GMR63" s="10"/>
      <c r="GMS63" s="10"/>
      <c r="GMT63" s="10"/>
      <c r="GMU63" s="10"/>
      <c r="GMV63" s="10"/>
      <c r="GMW63" s="10"/>
      <c r="GMX63" s="10"/>
      <c r="GMY63" s="10"/>
      <c r="GMZ63" s="10"/>
      <c r="GNA63" s="10"/>
      <c r="GNB63" s="10"/>
      <c r="GNC63" s="10"/>
      <c r="GND63" s="10"/>
      <c r="GNE63" s="10"/>
      <c r="GNF63" s="10"/>
      <c r="GNG63" s="10"/>
      <c r="GNH63" s="10"/>
      <c r="GNI63" s="10"/>
      <c r="GNJ63" s="10"/>
      <c r="GNK63" s="10"/>
      <c r="GNL63" s="10"/>
      <c r="GNM63" s="10"/>
      <c r="GNN63" s="10"/>
      <c r="GNO63" s="10"/>
      <c r="GNP63" s="10"/>
      <c r="GNQ63" s="10"/>
      <c r="GNR63" s="10"/>
      <c r="GNS63" s="10"/>
      <c r="GNT63" s="10"/>
      <c r="GNU63" s="10"/>
      <c r="GNV63" s="10"/>
      <c r="GNW63" s="10"/>
      <c r="GNX63" s="10"/>
      <c r="GNY63" s="10"/>
      <c r="GNZ63" s="10"/>
      <c r="GOA63" s="10"/>
      <c r="GOB63" s="10"/>
      <c r="GOC63" s="10"/>
      <c r="GOD63" s="10"/>
      <c r="GOE63" s="10"/>
      <c r="GOF63" s="10"/>
      <c r="GOG63" s="10"/>
      <c r="GOH63" s="10"/>
      <c r="GOI63" s="10"/>
      <c r="GOJ63" s="10"/>
      <c r="GOK63" s="10"/>
      <c r="GOL63" s="10"/>
      <c r="GOM63" s="10"/>
      <c r="GON63" s="10"/>
      <c r="GOO63" s="10"/>
      <c r="GOP63" s="10"/>
      <c r="GOQ63" s="10"/>
      <c r="GOR63" s="10"/>
      <c r="GOS63" s="10"/>
      <c r="GOT63" s="10"/>
      <c r="GOU63" s="10"/>
      <c r="GOV63" s="10"/>
      <c r="GOW63" s="10"/>
      <c r="GOX63" s="10"/>
      <c r="GOY63" s="10"/>
      <c r="GOZ63" s="10"/>
      <c r="GPA63" s="10"/>
      <c r="GPB63" s="10"/>
      <c r="GPC63" s="10"/>
      <c r="GPD63" s="10"/>
      <c r="GPE63" s="10"/>
      <c r="GPF63" s="10"/>
      <c r="GPG63" s="10"/>
      <c r="GPH63" s="10"/>
      <c r="GPI63" s="10"/>
      <c r="GPJ63" s="10"/>
      <c r="GPK63" s="10"/>
      <c r="GPL63" s="10"/>
      <c r="GPM63" s="10"/>
      <c r="GPN63" s="10"/>
      <c r="GPO63" s="10"/>
      <c r="GPP63" s="10"/>
      <c r="GPQ63" s="10"/>
      <c r="GPR63" s="10"/>
      <c r="GPS63" s="10"/>
      <c r="GPT63" s="10"/>
      <c r="GPU63" s="10"/>
      <c r="GPV63" s="10"/>
      <c r="GPW63" s="10"/>
      <c r="GPX63" s="10"/>
      <c r="GPY63" s="10"/>
      <c r="GPZ63" s="10"/>
      <c r="GQA63" s="10"/>
      <c r="GQB63" s="10"/>
      <c r="GQC63" s="10"/>
      <c r="GQD63" s="10"/>
      <c r="GQE63" s="10"/>
      <c r="GQF63" s="10"/>
      <c r="GQG63" s="10"/>
      <c r="GQH63" s="10"/>
      <c r="GQI63" s="10"/>
      <c r="GQJ63" s="10"/>
      <c r="GQK63" s="10"/>
      <c r="GQL63" s="10"/>
      <c r="GQM63" s="10"/>
      <c r="GQN63" s="10"/>
      <c r="GQO63" s="10"/>
      <c r="GQP63" s="10"/>
      <c r="GQQ63" s="10"/>
      <c r="GQR63" s="10"/>
      <c r="GQS63" s="10"/>
      <c r="GQT63" s="10"/>
      <c r="GQU63" s="10"/>
      <c r="GQV63" s="10"/>
      <c r="GQW63" s="10"/>
      <c r="GQX63" s="10"/>
      <c r="GQY63" s="10"/>
      <c r="GQZ63" s="10"/>
      <c r="GRA63" s="10"/>
      <c r="GRB63" s="10"/>
      <c r="GRC63" s="10"/>
      <c r="GRD63" s="10"/>
      <c r="GRE63" s="10"/>
      <c r="GRF63" s="10"/>
      <c r="GRG63" s="10"/>
      <c r="GRH63" s="10"/>
      <c r="GRI63" s="10"/>
      <c r="GRJ63" s="10"/>
      <c r="GRK63" s="10"/>
      <c r="GRL63" s="10"/>
      <c r="GRM63" s="10"/>
      <c r="GRN63" s="10"/>
      <c r="GRO63" s="10"/>
      <c r="GRP63" s="10"/>
      <c r="GRQ63" s="10"/>
      <c r="GRR63" s="10"/>
      <c r="GRS63" s="10"/>
      <c r="GRT63" s="10"/>
      <c r="GRU63" s="10"/>
      <c r="GRV63" s="10"/>
      <c r="GRW63" s="10"/>
      <c r="GRX63" s="10"/>
      <c r="GRY63" s="10"/>
      <c r="GRZ63" s="10"/>
      <c r="GSA63" s="10"/>
      <c r="GSB63" s="10"/>
      <c r="GSC63" s="10"/>
      <c r="GSD63" s="10"/>
      <c r="GSE63" s="10"/>
      <c r="GSF63" s="10"/>
      <c r="GSG63" s="10"/>
      <c r="GSH63" s="10"/>
      <c r="GSI63" s="10"/>
      <c r="GSJ63" s="10"/>
      <c r="GSK63" s="10"/>
      <c r="GSL63" s="10"/>
      <c r="GSM63" s="10"/>
      <c r="GSN63" s="10"/>
      <c r="GSO63" s="10"/>
      <c r="GSP63" s="10"/>
      <c r="GSQ63" s="10"/>
      <c r="GSR63" s="10"/>
      <c r="GSS63" s="10"/>
      <c r="GST63" s="10"/>
      <c r="GSU63" s="10"/>
      <c r="GSV63" s="10"/>
      <c r="GSW63" s="10"/>
      <c r="GSX63" s="10"/>
      <c r="GSY63" s="10"/>
      <c r="GSZ63" s="10"/>
      <c r="GTA63" s="10"/>
      <c r="GTB63" s="10"/>
      <c r="GTC63" s="10"/>
      <c r="GTD63" s="10"/>
      <c r="GTE63" s="10"/>
      <c r="GTF63" s="10"/>
      <c r="GTG63" s="10"/>
      <c r="GTH63" s="10"/>
      <c r="GTI63" s="10"/>
      <c r="GTJ63" s="10"/>
      <c r="GTK63" s="10"/>
      <c r="GTL63" s="10"/>
      <c r="GTM63" s="10"/>
      <c r="GTN63" s="10"/>
      <c r="GTO63" s="10"/>
      <c r="GTP63" s="10"/>
      <c r="GTQ63" s="10"/>
      <c r="GTR63" s="10"/>
      <c r="GTS63" s="10"/>
      <c r="GTT63" s="10"/>
      <c r="GTU63" s="10"/>
      <c r="GTV63" s="10"/>
      <c r="GTW63" s="10"/>
      <c r="GTX63" s="10"/>
      <c r="GTY63" s="10"/>
      <c r="GTZ63" s="10"/>
      <c r="GUA63" s="10"/>
      <c r="GUB63" s="10"/>
      <c r="GUC63" s="10"/>
      <c r="GUD63" s="10"/>
      <c r="GUE63" s="10"/>
      <c r="GUF63" s="10"/>
      <c r="GUG63" s="10"/>
      <c r="GUH63" s="10"/>
      <c r="GUI63" s="10"/>
      <c r="GUJ63" s="10"/>
      <c r="GUK63" s="10"/>
      <c r="GUL63" s="10"/>
      <c r="GUM63" s="10"/>
      <c r="GUN63" s="10"/>
      <c r="GUO63" s="10"/>
      <c r="GUP63" s="10"/>
      <c r="GUQ63" s="10"/>
      <c r="GUR63" s="10"/>
      <c r="GUS63" s="10"/>
      <c r="GUT63" s="10"/>
      <c r="GUU63" s="10"/>
      <c r="GUV63" s="10"/>
      <c r="GUW63" s="10"/>
      <c r="GUX63" s="10"/>
      <c r="GUY63" s="10"/>
      <c r="GUZ63" s="10"/>
      <c r="GVA63" s="10"/>
      <c r="GVB63" s="10"/>
      <c r="GVC63" s="10"/>
      <c r="GVD63" s="10"/>
      <c r="GVE63" s="10"/>
      <c r="GVF63" s="10"/>
      <c r="GVG63" s="10"/>
      <c r="GVH63" s="10"/>
      <c r="GVI63" s="10"/>
      <c r="GVJ63" s="10"/>
      <c r="GVK63" s="10"/>
      <c r="GVL63" s="10"/>
      <c r="GVM63" s="10"/>
      <c r="GVN63" s="10"/>
      <c r="GVO63" s="10"/>
      <c r="GVP63" s="10"/>
      <c r="GVQ63" s="10"/>
      <c r="GVR63" s="10"/>
      <c r="GVS63" s="10"/>
      <c r="GVT63" s="10"/>
      <c r="GVU63" s="10"/>
      <c r="GVV63" s="10"/>
      <c r="GVW63" s="10"/>
      <c r="GVX63" s="10"/>
      <c r="GVY63" s="10"/>
      <c r="GVZ63" s="10"/>
      <c r="GWA63" s="10"/>
      <c r="GWB63" s="10"/>
      <c r="GWC63" s="10"/>
      <c r="GWD63" s="10"/>
      <c r="GWE63" s="10"/>
      <c r="GWF63" s="10"/>
      <c r="GWG63" s="10"/>
      <c r="GWH63" s="10"/>
      <c r="GWI63" s="10"/>
      <c r="GWJ63" s="10"/>
      <c r="GWK63" s="10"/>
      <c r="GWL63" s="10"/>
      <c r="GWM63" s="10"/>
      <c r="GWN63" s="10"/>
      <c r="GWO63" s="10"/>
      <c r="GWP63" s="10"/>
      <c r="GWQ63" s="10"/>
      <c r="GWR63" s="10"/>
      <c r="GWS63" s="10"/>
      <c r="GWT63" s="10"/>
      <c r="GWU63" s="10"/>
      <c r="GWV63" s="10"/>
      <c r="GWW63" s="10"/>
      <c r="GWX63" s="10"/>
      <c r="GWY63" s="10"/>
      <c r="GWZ63" s="10"/>
      <c r="GXA63" s="10"/>
      <c r="GXB63" s="10"/>
      <c r="GXC63" s="10"/>
      <c r="GXD63" s="10"/>
      <c r="GXE63" s="10"/>
      <c r="GXF63" s="10"/>
      <c r="GXG63" s="10"/>
      <c r="GXH63" s="10"/>
      <c r="GXI63" s="10"/>
      <c r="GXJ63" s="10"/>
      <c r="GXK63" s="10"/>
      <c r="GXL63" s="10"/>
      <c r="GXM63" s="10"/>
      <c r="GXN63" s="10"/>
      <c r="GXO63" s="10"/>
      <c r="GXP63" s="10"/>
      <c r="GXQ63" s="10"/>
      <c r="GXR63" s="10"/>
      <c r="GXS63" s="10"/>
      <c r="GXT63" s="10"/>
      <c r="GXU63" s="10"/>
      <c r="GXV63" s="10"/>
      <c r="GXW63" s="10"/>
      <c r="GXX63" s="10"/>
      <c r="GXY63" s="10"/>
      <c r="GXZ63" s="10"/>
      <c r="GYA63" s="10"/>
      <c r="GYB63" s="10"/>
      <c r="GYC63" s="10"/>
      <c r="GYD63" s="10"/>
      <c r="GYE63" s="10"/>
      <c r="GYF63" s="10"/>
      <c r="GYG63" s="10"/>
      <c r="GYH63" s="10"/>
      <c r="GYI63" s="10"/>
      <c r="GYJ63" s="10"/>
      <c r="GYK63" s="10"/>
      <c r="GYL63" s="10"/>
      <c r="GYM63" s="10"/>
      <c r="GYN63" s="10"/>
      <c r="GYO63" s="10"/>
      <c r="GYP63" s="10"/>
      <c r="GYQ63" s="10"/>
      <c r="GYR63" s="10"/>
      <c r="GYS63" s="10"/>
      <c r="GYT63" s="10"/>
      <c r="GYU63" s="10"/>
      <c r="GYV63" s="10"/>
      <c r="GYW63" s="10"/>
      <c r="GYX63" s="10"/>
      <c r="GYY63" s="10"/>
      <c r="GYZ63" s="10"/>
      <c r="GZA63" s="10"/>
      <c r="GZB63" s="10"/>
      <c r="GZC63" s="10"/>
      <c r="GZD63" s="10"/>
      <c r="GZE63" s="10"/>
      <c r="GZF63" s="10"/>
      <c r="GZG63" s="10"/>
      <c r="GZH63" s="10"/>
      <c r="GZI63" s="10"/>
      <c r="GZJ63" s="10"/>
      <c r="GZK63" s="10"/>
      <c r="GZL63" s="10"/>
      <c r="GZM63" s="10"/>
      <c r="GZN63" s="10"/>
      <c r="GZO63" s="10"/>
      <c r="GZP63" s="10"/>
      <c r="GZQ63" s="10"/>
      <c r="GZR63" s="10"/>
      <c r="GZS63" s="10"/>
      <c r="GZT63" s="10"/>
      <c r="GZU63" s="10"/>
      <c r="GZV63" s="10"/>
      <c r="GZW63" s="10"/>
      <c r="GZX63" s="10"/>
      <c r="GZY63" s="10"/>
      <c r="GZZ63" s="10"/>
      <c r="HAA63" s="10"/>
      <c r="HAB63" s="10"/>
      <c r="HAC63" s="10"/>
      <c r="HAD63" s="10"/>
      <c r="HAE63" s="10"/>
      <c r="HAF63" s="10"/>
      <c r="HAG63" s="10"/>
      <c r="HAH63" s="10"/>
      <c r="HAI63" s="10"/>
      <c r="HAJ63" s="10"/>
      <c r="HAK63" s="10"/>
      <c r="HAL63" s="10"/>
      <c r="HAM63" s="10"/>
      <c r="HAN63" s="10"/>
      <c r="HAO63" s="10"/>
      <c r="HAP63" s="10"/>
      <c r="HAQ63" s="10"/>
      <c r="HAR63" s="10"/>
      <c r="HAS63" s="10"/>
      <c r="HAT63" s="10"/>
      <c r="HAU63" s="10"/>
      <c r="HAV63" s="10"/>
      <c r="HAW63" s="10"/>
      <c r="HAX63" s="10"/>
      <c r="HAY63" s="10"/>
      <c r="HAZ63" s="10"/>
      <c r="HBA63" s="10"/>
      <c r="HBB63" s="10"/>
      <c r="HBC63" s="10"/>
      <c r="HBD63" s="10"/>
      <c r="HBE63" s="10"/>
      <c r="HBF63" s="10"/>
      <c r="HBG63" s="10"/>
      <c r="HBH63" s="10"/>
      <c r="HBI63" s="10"/>
      <c r="HBJ63" s="10"/>
      <c r="HBK63" s="10"/>
      <c r="HBL63" s="10"/>
      <c r="HBM63" s="10"/>
      <c r="HBN63" s="10"/>
      <c r="HBO63" s="10"/>
      <c r="HBP63" s="10"/>
      <c r="HBQ63" s="10"/>
      <c r="HBR63" s="10"/>
      <c r="HBS63" s="10"/>
      <c r="HBT63" s="10"/>
      <c r="HBU63" s="10"/>
      <c r="HBV63" s="10"/>
      <c r="HBW63" s="10"/>
      <c r="HBX63" s="10"/>
      <c r="HBY63" s="10"/>
      <c r="HBZ63" s="10"/>
      <c r="HCA63" s="10"/>
      <c r="HCB63" s="10"/>
      <c r="HCC63" s="10"/>
      <c r="HCD63" s="10"/>
      <c r="HCE63" s="10"/>
      <c r="HCF63" s="10"/>
      <c r="HCG63" s="10"/>
      <c r="HCH63" s="10"/>
      <c r="HCI63" s="10"/>
      <c r="HCJ63" s="10"/>
      <c r="HCK63" s="10"/>
      <c r="HCL63" s="10"/>
      <c r="HCM63" s="10"/>
      <c r="HCN63" s="10"/>
      <c r="HCO63" s="10"/>
      <c r="HCP63" s="10"/>
      <c r="HCQ63" s="10"/>
      <c r="HCR63" s="10"/>
      <c r="HCS63" s="10"/>
      <c r="HCT63" s="10"/>
      <c r="HCU63" s="10"/>
      <c r="HCV63" s="10"/>
      <c r="HCW63" s="10"/>
      <c r="HCX63" s="10"/>
      <c r="HCY63" s="10"/>
      <c r="HCZ63" s="10"/>
      <c r="HDA63" s="10"/>
      <c r="HDB63" s="10"/>
      <c r="HDC63" s="10"/>
      <c r="HDD63" s="10"/>
      <c r="HDE63" s="10"/>
      <c r="HDF63" s="10"/>
      <c r="HDG63" s="10"/>
      <c r="HDH63" s="10"/>
      <c r="HDI63" s="10"/>
      <c r="HDJ63" s="10"/>
      <c r="HDK63" s="10"/>
      <c r="HDL63" s="10"/>
      <c r="HDM63" s="10"/>
      <c r="HDN63" s="10"/>
      <c r="HDO63" s="10"/>
      <c r="HDP63" s="10"/>
      <c r="HDQ63" s="10"/>
      <c r="HDR63" s="10"/>
      <c r="HDS63" s="10"/>
      <c r="HDT63" s="10"/>
      <c r="HDU63" s="10"/>
      <c r="HDV63" s="10"/>
      <c r="HDW63" s="10"/>
      <c r="HDX63" s="10"/>
      <c r="HDY63" s="10"/>
      <c r="HDZ63" s="10"/>
      <c r="HEA63" s="10"/>
      <c r="HEB63" s="10"/>
      <c r="HEC63" s="10"/>
      <c r="HED63" s="10"/>
      <c r="HEE63" s="10"/>
      <c r="HEF63" s="10"/>
      <c r="HEG63" s="10"/>
      <c r="HEH63" s="10"/>
      <c r="HEI63" s="10"/>
      <c r="HEJ63" s="10"/>
      <c r="HEK63" s="10"/>
      <c r="HEL63" s="10"/>
      <c r="HEM63" s="10"/>
      <c r="HEN63" s="10"/>
      <c r="HEO63" s="10"/>
      <c r="HEP63" s="10"/>
      <c r="HEQ63" s="10"/>
      <c r="HER63" s="10"/>
      <c r="HES63" s="10"/>
      <c r="HET63" s="10"/>
      <c r="HEU63" s="10"/>
      <c r="HEV63" s="10"/>
      <c r="HEW63" s="10"/>
      <c r="HEX63" s="10"/>
      <c r="HEY63" s="10"/>
      <c r="HEZ63" s="10"/>
      <c r="HFA63" s="10"/>
      <c r="HFB63" s="10"/>
      <c r="HFC63" s="10"/>
      <c r="HFD63" s="10"/>
      <c r="HFE63" s="10"/>
      <c r="HFF63" s="10"/>
      <c r="HFG63" s="10"/>
      <c r="HFH63" s="10"/>
      <c r="HFI63" s="10"/>
      <c r="HFJ63" s="10"/>
      <c r="HFK63" s="10"/>
      <c r="HFL63" s="10"/>
      <c r="HFM63" s="10"/>
      <c r="HFN63" s="10"/>
      <c r="HFO63" s="10"/>
      <c r="HFP63" s="10"/>
      <c r="HFQ63" s="10"/>
      <c r="HFR63" s="10"/>
      <c r="HFS63" s="10"/>
      <c r="HFT63" s="10"/>
      <c r="HFU63" s="10"/>
      <c r="HFV63" s="10"/>
      <c r="HFW63" s="10"/>
      <c r="HFX63" s="10"/>
      <c r="HFY63" s="10"/>
      <c r="HFZ63" s="10"/>
      <c r="HGA63" s="10"/>
      <c r="HGB63" s="10"/>
      <c r="HGC63" s="10"/>
      <c r="HGD63" s="10"/>
      <c r="HGE63" s="10"/>
      <c r="HGF63" s="10"/>
      <c r="HGG63" s="10"/>
      <c r="HGH63" s="10"/>
      <c r="HGI63" s="10"/>
      <c r="HGJ63" s="10"/>
      <c r="HGK63" s="10"/>
      <c r="HGL63" s="10"/>
      <c r="HGM63" s="10"/>
      <c r="HGN63" s="10"/>
      <c r="HGO63" s="10"/>
      <c r="HGP63" s="10"/>
      <c r="HGQ63" s="10"/>
      <c r="HGR63" s="10"/>
      <c r="HGS63" s="10"/>
      <c r="HGT63" s="10"/>
      <c r="HGU63" s="10"/>
      <c r="HGV63" s="10"/>
      <c r="HGW63" s="10"/>
      <c r="HGX63" s="10"/>
      <c r="HGY63" s="10"/>
      <c r="HGZ63" s="10"/>
      <c r="HHA63" s="10"/>
      <c r="HHB63" s="10"/>
      <c r="HHC63" s="10"/>
      <c r="HHD63" s="10"/>
      <c r="HHE63" s="10"/>
      <c r="HHF63" s="10"/>
      <c r="HHG63" s="10"/>
      <c r="HHH63" s="10"/>
      <c r="HHI63" s="10"/>
      <c r="HHJ63" s="10"/>
      <c r="HHK63" s="10"/>
      <c r="HHL63" s="10"/>
      <c r="HHM63" s="10"/>
      <c r="HHN63" s="10"/>
      <c r="HHO63" s="10"/>
      <c r="HHP63" s="10"/>
      <c r="HHQ63" s="10"/>
      <c r="HHR63" s="10"/>
      <c r="HHS63" s="10"/>
      <c r="HHT63" s="10"/>
      <c r="HHU63" s="10"/>
      <c r="HHV63" s="10"/>
      <c r="HHW63" s="10"/>
      <c r="HHX63" s="10"/>
      <c r="HHY63" s="10"/>
      <c r="HHZ63" s="10"/>
      <c r="HIA63" s="10"/>
      <c r="HIB63" s="10"/>
      <c r="HIC63" s="10"/>
      <c r="HID63" s="10"/>
      <c r="HIE63" s="10"/>
      <c r="HIF63" s="10"/>
      <c r="HIG63" s="10"/>
      <c r="HIH63" s="10"/>
      <c r="HII63" s="10"/>
      <c r="HIJ63" s="10"/>
      <c r="HIK63" s="10"/>
      <c r="HIL63" s="10"/>
      <c r="HIM63" s="10"/>
      <c r="HIN63" s="10"/>
      <c r="HIO63" s="10"/>
      <c r="HIP63" s="10"/>
      <c r="HIQ63" s="10"/>
      <c r="HIR63" s="10"/>
      <c r="HIS63" s="10"/>
      <c r="HIT63" s="10"/>
      <c r="HIU63" s="10"/>
      <c r="HIV63" s="10"/>
      <c r="HIW63" s="10"/>
      <c r="HIX63" s="10"/>
      <c r="HIY63" s="10"/>
      <c r="HIZ63" s="10"/>
      <c r="HJA63" s="10"/>
      <c r="HJB63" s="10"/>
      <c r="HJC63" s="10"/>
      <c r="HJD63" s="10"/>
      <c r="HJE63" s="10"/>
      <c r="HJF63" s="10"/>
      <c r="HJG63" s="10"/>
      <c r="HJH63" s="10"/>
      <c r="HJI63" s="10"/>
      <c r="HJJ63" s="10"/>
      <c r="HJK63" s="10"/>
      <c r="HJL63" s="10"/>
      <c r="HJM63" s="10"/>
      <c r="HJN63" s="10"/>
      <c r="HJO63" s="10"/>
      <c r="HJP63" s="10"/>
      <c r="HJQ63" s="10"/>
      <c r="HJR63" s="10"/>
      <c r="HJS63" s="10"/>
      <c r="HJT63" s="10"/>
      <c r="HJU63" s="10"/>
      <c r="HJV63" s="10"/>
      <c r="HJW63" s="10"/>
      <c r="HJX63" s="10"/>
      <c r="HJY63" s="10"/>
      <c r="HJZ63" s="10"/>
      <c r="HKA63" s="10"/>
      <c r="HKB63" s="10"/>
      <c r="HKC63" s="10"/>
      <c r="HKD63" s="10"/>
      <c r="HKE63" s="10"/>
      <c r="HKF63" s="10"/>
      <c r="HKG63" s="10"/>
      <c r="HKH63" s="10"/>
      <c r="HKI63" s="10"/>
      <c r="HKJ63" s="10"/>
      <c r="HKK63" s="10"/>
      <c r="HKL63" s="10"/>
      <c r="HKM63" s="10"/>
      <c r="HKN63" s="10"/>
      <c r="HKO63" s="10"/>
      <c r="HKP63" s="10"/>
      <c r="HKQ63" s="10"/>
      <c r="HKR63" s="10"/>
      <c r="HKS63" s="10"/>
      <c r="HKT63" s="10"/>
      <c r="HKU63" s="10"/>
      <c r="HKV63" s="10"/>
      <c r="HKW63" s="10"/>
      <c r="HKX63" s="10"/>
      <c r="HKY63" s="10"/>
      <c r="HKZ63" s="10"/>
      <c r="HLA63" s="10"/>
      <c r="HLB63" s="10"/>
      <c r="HLC63" s="10"/>
      <c r="HLD63" s="10"/>
      <c r="HLE63" s="10"/>
      <c r="HLF63" s="10"/>
      <c r="HLG63" s="10"/>
      <c r="HLH63" s="10"/>
      <c r="HLI63" s="10"/>
      <c r="HLJ63" s="10"/>
      <c r="HLK63" s="10"/>
      <c r="HLL63" s="10"/>
      <c r="HLM63" s="10"/>
      <c r="HLN63" s="10"/>
      <c r="HLO63" s="10"/>
      <c r="HLP63" s="10"/>
      <c r="HLQ63" s="10"/>
      <c r="HLR63" s="10"/>
      <c r="HLS63" s="10"/>
      <c r="HLT63" s="10"/>
      <c r="HLU63" s="10"/>
      <c r="HLV63" s="10"/>
      <c r="HLW63" s="10"/>
      <c r="HLX63" s="10"/>
      <c r="HLY63" s="10"/>
      <c r="HLZ63" s="10"/>
      <c r="HMA63" s="10"/>
      <c r="HMB63" s="10"/>
      <c r="HMC63" s="10"/>
      <c r="HMD63" s="10"/>
      <c r="HME63" s="10"/>
      <c r="HMF63" s="10"/>
      <c r="HMG63" s="10"/>
      <c r="HMH63" s="10"/>
      <c r="HMI63" s="10"/>
      <c r="HMJ63" s="10"/>
      <c r="HMK63" s="10"/>
      <c r="HML63" s="10"/>
      <c r="HMM63" s="10"/>
      <c r="HMN63" s="10"/>
      <c r="HMO63" s="10"/>
      <c r="HMP63" s="10"/>
      <c r="HMQ63" s="10"/>
      <c r="HMR63" s="10"/>
      <c r="HMS63" s="10"/>
      <c r="HMT63" s="10"/>
      <c r="HMU63" s="10"/>
      <c r="HMV63" s="10"/>
      <c r="HMW63" s="10"/>
      <c r="HMX63" s="10"/>
      <c r="HMY63" s="10"/>
      <c r="HMZ63" s="10"/>
      <c r="HNA63" s="10"/>
      <c r="HNB63" s="10"/>
      <c r="HNC63" s="10"/>
      <c r="HND63" s="10"/>
      <c r="HNE63" s="10"/>
      <c r="HNF63" s="10"/>
      <c r="HNG63" s="10"/>
      <c r="HNH63" s="10"/>
      <c r="HNI63" s="10"/>
      <c r="HNJ63" s="10"/>
      <c r="HNK63" s="10"/>
      <c r="HNL63" s="10"/>
      <c r="HNM63" s="10"/>
      <c r="HNN63" s="10"/>
      <c r="HNO63" s="10"/>
      <c r="HNP63" s="10"/>
      <c r="HNQ63" s="10"/>
      <c r="HNR63" s="10"/>
      <c r="HNS63" s="10"/>
      <c r="HNT63" s="10"/>
      <c r="HNU63" s="10"/>
      <c r="HNV63" s="10"/>
      <c r="HNW63" s="10"/>
      <c r="HNX63" s="10"/>
      <c r="HNY63" s="10"/>
      <c r="HNZ63" s="10"/>
      <c r="HOA63" s="10"/>
      <c r="HOB63" s="10"/>
      <c r="HOC63" s="10"/>
      <c r="HOD63" s="10"/>
      <c r="HOE63" s="10"/>
      <c r="HOF63" s="10"/>
      <c r="HOG63" s="10"/>
      <c r="HOH63" s="10"/>
      <c r="HOI63" s="10"/>
      <c r="HOJ63" s="10"/>
      <c r="HOK63" s="10"/>
      <c r="HOL63" s="10"/>
      <c r="HOM63" s="10"/>
      <c r="HON63" s="10"/>
      <c r="HOO63" s="10"/>
      <c r="HOP63" s="10"/>
      <c r="HOQ63" s="10"/>
      <c r="HOR63" s="10"/>
      <c r="HOS63" s="10"/>
      <c r="HOT63" s="10"/>
      <c r="HOU63" s="10"/>
      <c r="HOV63" s="10"/>
      <c r="HOW63" s="10"/>
      <c r="HOX63" s="10"/>
      <c r="HOY63" s="10"/>
      <c r="HOZ63" s="10"/>
      <c r="HPA63" s="10"/>
      <c r="HPB63" s="10"/>
      <c r="HPC63" s="10"/>
      <c r="HPD63" s="10"/>
      <c r="HPE63" s="10"/>
      <c r="HPF63" s="10"/>
      <c r="HPG63" s="10"/>
      <c r="HPH63" s="10"/>
      <c r="HPI63" s="10"/>
      <c r="HPJ63" s="10"/>
      <c r="HPK63" s="10"/>
      <c r="HPL63" s="10"/>
      <c r="HPM63" s="10"/>
      <c r="HPN63" s="10"/>
      <c r="HPO63" s="10"/>
      <c r="HPP63" s="10"/>
      <c r="HPQ63" s="10"/>
      <c r="HPR63" s="10"/>
      <c r="HPS63" s="10"/>
      <c r="HPT63" s="10"/>
      <c r="HPU63" s="10"/>
      <c r="HPV63" s="10"/>
      <c r="HPW63" s="10"/>
      <c r="HPX63" s="10"/>
      <c r="HPY63" s="10"/>
      <c r="HPZ63" s="10"/>
      <c r="HQA63" s="10"/>
      <c r="HQB63" s="10"/>
      <c r="HQC63" s="10"/>
      <c r="HQD63" s="10"/>
      <c r="HQE63" s="10"/>
      <c r="HQF63" s="10"/>
      <c r="HQG63" s="10"/>
      <c r="HQH63" s="10"/>
      <c r="HQI63" s="10"/>
      <c r="HQJ63" s="10"/>
      <c r="HQK63" s="10"/>
      <c r="HQL63" s="10"/>
      <c r="HQM63" s="10"/>
      <c r="HQN63" s="10"/>
      <c r="HQO63" s="10"/>
      <c r="HQP63" s="10"/>
      <c r="HQQ63" s="10"/>
      <c r="HQR63" s="10"/>
      <c r="HQS63" s="10"/>
      <c r="HQT63" s="10"/>
      <c r="HQU63" s="10"/>
      <c r="HQV63" s="10"/>
      <c r="HQW63" s="10"/>
      <c r="HQX63" s="10"/>
      <c r="HQY63" s="10"/>
      <c r="HQZ63" s="10"/>
      <c r="HRA63" s="10"/>
      <c r="HRB63" s="10"/>
      <c r="HRC63" s="10"/>
      <c r="HRD63" s="10"/>
      <c r="HRE63" s="10"/>
      <c r="HRF63" s="10"/>
      <c r="HRG63" s="10"/>
      <c r="HRH63" s="10"/>
      <c r="HRI63" s="10"/>
      <c r="HRJ63" s="10"/>
      <c r="HRK63" s="10"/>
      <c r="HRL63" s="10"/>
      <c r="HRM63" s="10"/>
      <c r="HRN63" s="10"/>
      <c r="HRO63" s="10"/>
      <c r="HRP63" s="10"/>
      <c r="HRQ63" s="10"/>
      <c r="HRR63" s="10"/>
      <c r="HRS63" s="10"/>
      <c r="HRT63" s="10"/>
      <c r="HRU63" s="10"/>
      <c r="HRV63" s="10"/>
      <c r="HRW63" s="10"/>
      <c r="HRX63" s="10"/>
      <c r="HRY63" s="10"/>
      <c r="HRZ63" s="10"/>
      <c r="HSA63" s="10"/>
      <c r="HSB63" s="10"/>
      <c r="HSC63" s="10"/>
      <c r="HSD63" s="10"/>
      <c r="HSE63" s="10"/>
      <c r="HSF63" s="10"/>
      <c r="HSG63" s="10"/>
      <c r="HSH63" s="10"/>
      <c r="HSI63" s="10"/>
      <c r="HSJ63" s="10"/>
      <c r="HSK63" s="10"/>
      <c r="HSL63" s="10"/>
      <c r="HSM63" s="10"/>
      <c r="HSN63" s="10"/>
      <c r="HSO63" s="10"/>
      <c r="HSP63" s="10"/>
      <c r="HSQ63" s="10"/>
      <c r="HSR63" s="10"/>
      <c r="HSS63" s="10"/>
      <c r="HST63" s="10"/>
      <c r="HSU63" s="10"/>
      <c r="HSV63" s="10"/>
      <c r="HSW63" s="10"/>
      <c r="HSX63" s="10"/>
      <c r="HSY63" s="10"/>
      <c r="HSZ63" s="10"/>
      <c r="HTA63" s="10"/>
      <c r="HTB63" s="10"/>
      <c r="HTC63" s="10"/>
      <c r="HTD63" s="10"/>
      <c r="HTE63" s="10"/>
      <c r="HTF63" s="10"/>
      <c r="HTG63" s="10"/>
      <c r="HTH63" s="10"/>
      <c r="HTI63" s="10"/>
      <c r="HTJ63" s="10"/>
      <c r="HTK63" s="10"/>
      <c r="HTL63" s="10"/>
      <c r="HTM63" s="10"/>
      <c r="HTN63" s="10"/>
      <c r="HTO63" s="10"/>
      <c r="HTP63" s="10"/>
      <c r="HTQ63" s="10"/>
      <c r="HTR63" s="10"/>
      <c r="HTS63" s="10"/>
      <c r="HTT63" s="10"/>
      <c r="HTU63" s="10"/>
      <c r="HTV63" s="10"/>
      <c r="HTW63" s="10"/>
      <c r="HTX63" s="10"/>
      <c r="HTY63" s="10"/>
      <c r="HTZ63" s="10"/>
      <c r="HUA63" s="10"/>
      <c r="HUB63" s="10"/>
      <c r="HUC63" s="10"/>
      <c r="HUD63" s="10"/>
      <c r="HUE63" s="10"/>
      <c r="HUF63" s="10"/>
      <c r="HUG63" s="10"/>
      <c r="HUH63" s="10"/>
      <c r="HUI63" s="10"/>
      <c r="HUJ63" s="10"/>
      <c r="HUK63" s="10"/>
      <c r="HUL63" s="10"/>
      <c r="HUM63" s="10"/>
      <c r="HUN63" s="10"/>
      <c r="HUO63" s="10"/>
      <c r="HUP63" s="10"/>
      <c r="HUQ63" s="10"/>
      <c r="HUR63" s="10"/>
      <c r="HUS63" s="10"/>
      <c r="HUT63" s="10"/>
      <c r="HUU63" s="10"/>
      <c r="HUV63" s="10"/>
      <c r="HUW63" s="10"/>
      <c r="HUX63" s="10"/>
      <c r="HUY63" s="10"/>
      <c r="HUZ63" s="10"/>
      <c r="HVA63" s="10"/>
      <c r="HVB63" s="10"/>
      <c r="HVC63" s="10"/>
      <c r="HVD63" s="10"/>
      <c r="HVE63" s="10"/>
      <c r="HVF63" s="10"/>
      <c r="HVG63" s="10"/>
      <c r="HVH63" s="10"/>
      <c r="HVI63" s="10"/>
      <c r="HVJ63" s="10"/>
      <c r="HVK63" s="10"/>
      <c r="HVL63" s="10"/>
      <c r="HVM63" s="10"/>
      <c r="HVN63" s="10"/>
      <c r="HVO63" s="10"/>
      <c r="HVP63" s="10"/>
      <c r="HVQ63" s="10"/>
      <c r="HVR63" s="10"/>
      <c r="HVS63" s="10"/>
      <c r="HVT63" s="10"/>
      <c r="HVU63" s="10"/>
      <c r="HVV63" s="10"/>
      <c r="HVW63" s="10"/>
      <c r="HVX63" s="10"/>
      <c r="HVY63" s="10"/>
      <c r="HVZ63" s="10"/>
      <c r="HWA63" s="10"/>
      <c r="HWB63" s="10"/>
      <c r="HWC63" s="10"/>
      <c r="HWD63" s="10"/>
      <c r="HWE63" s="10"/>
      <c r="HWF63" s="10"/>
      <c r="HWG63" s="10"/>
      <c r="HWH63" s="10"/>
      <c r="HWI63" s="10"/>
      <c r="HWJ63" s="10"/>
      <c r="HWK63" s="10"/>
      <c r="HWL63" s="10"/>
      <c r="HWM63" s="10"/>
      <c r="HWN63" s="10"/>
      <c r="HWO63" s="10"/>
      <c r="HWP63" s="10"/>
      <c r="HWQ63" s="10"/>
      <c r="HWR63" s="10"/>
      <c r="HWS63" s="10"/>
      <c r="HWT63" s="10"/>
      <c r="HWU63" s="10"/>
      <c r="HWV63" s="10"/>
      <c r="HWW63" s="10"/>
      <c r="HWX63" s="10"/>
      <c r="HWY63" s="10"/>
      <c r="HWZ63" s="10"/>
      <c r="HXA63" s="10"/>
      <c r="HXB63" s="10"/>
      <c r="HXC63" s="10"/>
      <c r="HXD63" s="10"/>
      <c r="HXE63" s="10"/>
      <c r="HXF63" s="10"/>
      <c r="HXG63" s="10"/>
      <c r="HXH63" s="10"/>
      <c r="HXI63" s="10"/>
      <c r="HXJ63" s="10"/>
      <c r="HXK63" s="10"/>
      <c r="HXL63" s="10"/>
      <c r="HXM63" s="10"/>
      <c r="HXN63" s="10"/>
      <c r="HXO63" s="10"/>
      <c r="HXP63" s="10"/>
      <c r="HXQ63" s="10"/>
      <c r="HXR63" s="10"/>
      <c r="HXS63" s="10"/>
      <c r="HXT63" s="10"/>
      <c r="HXU63" s="10"/>
      <c r="HXV63" s="10"/>
      <c r="HXW63" s="10"/>
      <c r="HXX63" s="10"/>
      <c r="HXY63" s="10"/>
      <c r="HXZ63" s="10"/>
      <c r="HYA63" s="10"/>
      <c r="HYB63" s="10"/>
      <c r="HYC63" s="10"/>
      <c r="HYD63" s="10"/>
      <c r="HYE63" s="10"/>
      <c r="HYF63" s="10"/>
      <c r="HYG63" s="10"/>
      <c r="HYH63" s="10"/>
      <c r="HYI63" s="10"/>
      <c r="HYJ63" s="10"/>
      <c r="HYK63" s="10"/>
      <c r="HYL63" s="10"/>
      <c r="HYM63" s="10"/>
      <c r="HYN63" s="10"/>
      <c r="HYO63" s="10"/>
      <c r="HYP63" s="10"/>
      <c r="HYQ63" s="10"/>
      <c r="HYR63" s="10"/>
      <c r="HYS63" s="10"/>
      <c r="HYT63" s="10"/>
      <c r="HYU63" s="10"/>
      <c r="HYV63" s="10"/>
      <c r="HYW63" s="10"/>
      <c r="HYX63" s="10"/>
      <c r="HYY63" s="10"/>
      <c r="HYZ63" s="10"/>
      <c r="HZA63" s="10"/>
      <c r="HZB63" s="10"/>
      <c r="HZC63" s="10"/>
      <c r="HZD63" s="10"/>
      <c r="HZE63" s="10"/>
      <c r="HZF63" s="10"/>
      <c r="HZG63" s="10"/>
      <c r="HZH63" s="10"/>
      <c r="HZI63" s="10"/>
      <c r="HZJ63" s="10"/>
      <c r="HZK63" s="10"/>
      <c r="HZL63" s="10"/>
      <c r="HZM63" s="10"/>
      <c r="HZN63" s="10"/>
      <c r="HZO63" s="10"/>
      <c r="HZP63" s="10"/>
      <c r="HZQ63" s="10"/>
      <c r="HZR63" s="10"/>
      <c r="HZS63" s="10"/>
      <c r="HZT63" s="10"/>
      <c r="HZU63" s="10"/>
      <c r="HZV63" s="10"/>
      <c r="HZW63" s="10"/>
      <c r="HZX63" s="10"/>
      <c r="HZY63" s="10"/>
      <c r="HZZ63" s="10"/>
      <c r="IAA63" s="10"/>
      <c r="IAB63" s="10"/>
      <c r="IAC63" s="10"/>
      <c r="IAD63" s="10"/>
      <c r="IAE63" s="10"/>
      <c r="IAF63" s="10"/>
      <c r="IAG63" s="10"/>
      <c r="IAH63" s="10"/>
      <c r="IAI63" s="10"/>
      <c r="IAJ63" s="10"/>
      <c r="IAK63" s="10"/>
      <c r="IAL63" s="10"/>
      <c r="IAM63" s="10"/>
      <c r="IAN63" s="10"/>
      <c r="IAO63" s="10"/>
      <c r="IAP63" s="10"/>
      <c r="IAQ63" s="10"/>
      <c r="IAR63" s="10"/>
      <c r="IAS63" s="10"/>
      <c r="IAT63" s="10"/>
      <c r="IAU63" s="10"/>
      <c r="IAV63" s="10"/>
      <c r="IAW63" s="10"/>
      <c r="IAX63" s="10"/>
      <c r="IAY63" s="10"/>
      <c r="IAZ63" s="10"/>
      <c r="IBA63" s="10"/>
      <c r="IBB63" s="10"/>
      <c r="IBC63" s="10"/>
      <c r="IBD63" s="10"/>
      <c r="IBE63" s="10"/>
      <c r="IBF63" s="10"/>
      <c r="IBG63" s="10"/>
      <c r="IBH63" s="10"/>
      <c r="IBI63" s="10"/>
      <c r="IBJ63" s="10"/>
      <c r="IBK63" s="10"/>
      <c r="IBL63" s="10"/>
      <c r="IBM63" s="10"/>
      <c r="IBN63" s="10"/>
      <c r="IBO63" s="10"/>
      <c r="IBP63" s="10"/>
      <c r="IBQ63" s="10"/>
      <c r="IBR63" s="10"/>
      <c r="IBS63" s="10"/>
      <c r="IBT63" s="10"/>
      <c r="IBU63" s="10"/>
      <c r="IBV63" s="10"/>
      <c r="IBW63" s="10"/>
      <c r="IBX63" s="10"/>
      <c r="IBY63" s="10"/>
      <c r="IBZ63" s="10"/>
      <c r="ICA63" s="10"/>
      <c r="ICB63" s="10"/>
      <c r="ICC63" s="10"/>
      <c r="ICD63" s="10"/>
      <c r="ICE63" s="10"/>
      <c r="ICF63" s="10"/>
      <c r="ICG63" s="10"/>
      <c r="ICH63" s="10"/>
      <c r="ICI63" s="10"/>
      <c r="ICJ63" s="10"/>
      <c r="ICK63" s="10"/>
      <c r="ICL63" s="10"/>
      <c r="ICM63" s="10"/>
      <c r="ICN63" s="10"/>
      <c r="ICO63" s="10"/>
      <c r="ICP63" s="10"/>
      <c r="ICQ63" s="10"/>
      <c r="ICR63" s="10"/>
      <c r="ICS63" s="10"/>
      <c r="ICT63" s="10"/>
      <c r="ICU63" s="10"/>
      <c r="ICV63" s="10"/>
      <c r="ICW63" s="10"/>
      <c r="ICX63" s="10"/>
      <c r="ICY63" s="10"/>
      <c r="ICZ63" s="10"/>
      <c r="IDA63" s="10"/>
      <c r="IDB63" s="10"/>
      <c r="IDC63" s="10"/>
      <c r="IDD63" s="10"/>
      <c r="IDE63" s="10"/>
      <c r="IDF63" s="10"/>
      <c r="IDG63" s="10"/>
      <c r="IDH63" s="10"/>
      <c r="IDI63" s="10"/>
      <c r="IDJ63" s="10"/>
      <c r="IDK63" s="10"/>
      <c r="IDL63" s="10"/>
      <c r="IDM63" s="10"/>
      <c r="IDN63" s="10"/>
      <c r="IDO63" s="10"/>
      <c r="IDP63" s="10"/>
      <c r="IDQ63" s="10"/>
      <c r="IDR63" s="10"/>
      <c r="IDS63" s="10"/>
      <c r="IDT63" s="10"/>
      <c r="IDU63" s="10"/>
      <c r="IDV63" s="10"/>
      <c r="IDW63" s="10"/>
      <c r="IDX63" s="10"/>
      <c r="IDY63" s="10"/>
      <c r="IDZ63" s="10"/>
      <c r="IEA63" s="10"/>
      <c r="IEB63" s="10"/>
      <c r="IEC63" s="10"/>
      <c r="IED63" s="10"/>
      <c r="IEE63" s="10"/>
      <c r="IEF63" s="10"/>
      <c r="IEG63" s="10"/>
      <c r="IEH63" s="10"/>
      <c r="IEI63" s="10"/>
      <c r="IEJ63" s="10"/>
      <c r="IEK63" s="10"/>
      <c r="IEL63" s="10"/>
      <c r="IEM63" s="10"/>
      <c r="IEN63" s="10"/>
      <c r="IEO63" s="10"/>
      <c r="IEP63" s="10"/>
      <c r="IEQ63" s="10"/>
      <c r="IER63" s="10"/>
      <c r="IES63" s="10"/>
      <c r="IET63" s="10"/>
      <c r="IEU63" s="10"/>
      <c r="IEV63" s="10"/>
      <c r="IEW63" s="10"/>
      <c r="IEX63" s="10"/>
      <c r="IEY63" s="10"/>
      <c r="IEZ63" s="10"/>
      <c r="IFA63" s="10"/>
      <c r="IFB63" s="10"/>
      <c r="IFC63" s="10"/>
      <c r="IFD63" s="10"/>
      <c r="IFE63" s="10"/>
      <c r="IFF63" s="10"/>
      <c r="IFG63" s="10"/>
      <c r="IFH63" s="10"/>
      <c r="IFI63" s="10"/>
      <c r="IFJ63" s="10"/>
      <c r="IFK63" s="10"/>
      <c r="IFL63" s="10"/>
      <c r="IFM63" s="10"/>
      <c r="IFN63" s="10"/>
      <c r="IFO63" s="10"/>
      <c r="IFP63" s="10"/>
      <c r="IFQ63" s="10"/>
      <c r="IFR63" s="10"/>
      <c r="IFS63" s="10"/>
      <c r="IFT63" s="10"/>
      <c r="IFU63" s="10"/>
      <c r="IFV63" s="10"/>
      <c r="IFW63" s="10"/>
      <c r="IFX63" s="10"/>
      <c r="IFY63" s="10"/>
      <c r="IFZ63" s="10"/>
      <c r="IGA63" s="10"/>
      <c r="IGB63" s="10"/>
      <c r="IGC63" s="10"/>
      <c r="IGD63" s="10"/>
      <c r="IGE63" s="10"/>
      <c r="IGF63" s="10"/>
      <c r="IGG63" s="10"/>
      <c r="IGH63" s="10"/>
      <c r="IGI63" s="10"/>
      <c r="IGJ63" s="10"/>
      <c r="IGK63" s="10"/>
      <c r="IGL63" s="10"/>
      <c r="IGM63" s="10"/>
      <c r="IGN63" s="10"/>
      <c r="IGO63" s="10"/>
      <c r="IGP63" s="10"/>
      <c r="IGQ63" s="10"/>
      <c r="IGR63" s="10"/>
      <c r="IGS63" s="10"/>
      <c r="IGT63" s="10"/>
      <c r="IGU63" s="10"/>
      <c r="IGV63" s="10"/>
      <c r="IGW63" s="10"/>
      <c r="IGX63" s="10"/>
      <c r="IGY63" s="10"/>
      <c r="IGZ63" s="10"/>
      <c r="IHA63" s="10"/>
      <c r="IHB63" s="10"/>
      <c r="IHC63" s="10"/>
      <c r="IHD63" s="10"/>
      <c r="IHE63" s="10"/>
      <c r="IHF63" s="10"/>
      <c r="IHG63" s="10"/>
      <c r="IHH63" s="10"/>
      <c r="IHI63" s="10"/>
      <c r="IHJ63" s="10"/>
      <c r="IHK63" s="10"/>
      <c r="IHL63" s="10"/>
      <c r="IHM63" s="10"/>
      <c r="IHN63" s="10"/>
      <c r="IHO63" s="10"/>
      <c r="IHP63" s="10"/>
      <c r="IHQ63" s="10"/>
      <c r="IHR63" s="10"/>
      <c r="IHS63" s="10"/>
      <c r="IHT63" s="10"/>
      <c r="IHU63" s="10"/>
      <c r="IHV63" s="10"/>
      <c r="IHW63" s="10"/>
      <c r="IHX63" s="10"/>
      <c r="IHY63" s="10"/>
      <c r="IHZ63" s="10"/>
      <c r="IIA63" s="10"/>
      <c r="IIB63" s="10"/>
      <c r="IIC63" s="10"/>
      <c r="IID63" s="10"/>
      <c r="IIE63" s="10"/>
      <c r="IIF63" s="10"/>
      <c r="IIG63" s="10"/>
      <c r="IIH63" s="10"/>
      <c r="III63" s="10"/>
      <c r="IIJ63" s="10"/>
      <c r="IIK63" s="10"/>
      <c r="IIL63" s="10"/>
      <c r="IIM63" s="10"/>
      <c r="IIN63" s="10"/>
      <c r="IIO63" s="10"/>
      <c r="IIP63" s="10"/>
      <c r="IIQ63" s="10"/>
      <c r="IIR63" s="10"/>
      <c r="IIS63" s="10"/>
      <c r="IIT63" s="10"/>
      <c r="IIU63" s="10"/>
      <c r="IIV63" s="10"/>
      <c r="IIW63" s="10"/>
      <c r="IIX63" s="10"/>
      <c r="IIY63" s="10"/>
      <c r="IIZ63" s="10"/>
      <c r="IJA63" s="10"/>
      <c r="IJB63" s="10"/>
      <c r="IJC63" s="10"/>
      <c r="IJD63" s="10"/>
      <c r="IJE63" s="10"/>
      <c r="IJF63" s="10"/>
      <c r="IJG63" s="10"/>
      <c r="IJH63" s="10"/>
      <c r="IJI63" s="10"/>
      <c r="IJJ63" s="10"/>
      <c r="IJK63" s="10"/>
      <c r="IJL63" s="10"/>
      <c r="IJM63" s="10"/>
      <c r="IJN63" s="10"/>
      <c r="IJO63" s="10"/>
      <c r="IJP63" s="10"/>
      <c r="IJQ63" s="10"/>
      <c r="IJR63" s="10"/>
      <c r="IJS63" s="10"/>
      <c r="IJT63" s="10"/>
      <c r="IJU63" s="10"/>
      <c r="IJV63" s="10"/>
      <c r="IJW63" s="10"/>
      <c r="IJX63" s="10"/>
      <c r="IJY63" s="10"/>
      <c r="IJZ63" s="10"/>
      <c r="IKA63" s="10"/>
      <c r="IKB63" s="10"/>
      <c r="IKC63" s="10"/>
      <c r="IKD63" s="10"/>
      <c r="IKE63" s="10"/>
      <c r="IKF63" s="10"/>
      <c r="IKG63" s="10"/>
      <c r="IKH63" s="10"/>
      <c r="IKI63" s="10"/>
      <c r="IKJ63" s="10"/>
      <c r="IKK63" s="10"/>
      <c r="IKL63" s="10"/>
      <c r="IKM63" s="10"/>
      <c r="IKN63" s="10"/>
      <c r="IKO63" s="10"/>
      <c r="IKP63" s="10"/>
      <c r="IKQ63" s="10"/>
      <c r="IKR63" s="10"/>
      <c r="IKS63" s="10"/>
      <c r="IKT63" s="10"/>
      <c r="IKU63" s="10"/>
      <c r="IKV63" s="10"/>
      <c r="IKW63" s="10"/>
      <c r="IKX63" s="10"/>
      <c r="IKY63" s="10"/>
      <c r="IKZ63" s="10"/>
      <c r="ILA63" s="10"/>
      <c r="ILB63" s="10"/>
      <c r="ILC63" s="10"/>
      <c r="ILD63" s="10"/>
      <c r="ILE63" s="10"/>
      <c r="ILF63" s="10"/>
      <c r="ILG63" s="10"/>
      <c r="ILH63" s="10"/>
      <c r="ILI63" s="10"/>
      <c r="ILJ63" s="10"/>
      <c r="ILK63" s="10"/>
      <c r="ILL63" s="10"/>
      <c r="ILM63" s="10"/>
      <c r="ILN63" s="10"/>
      <c r="ILO63" s="10"/>
      <c r="ILP63" s="10"/>
      <c r="ILQ63" s="10"/>
      <c r="ILR63" s="10"/>
      <c r="ILS63" s="10"/>
      <c r="ILT63" s="10"/>
      <c r="ILU63" s="10"/>
      <c r="ILV63" s="10"/>
      <c r="ILW63" s="10"/>
      <c r="ILX63" s="10"/>
      <c r="ILY63" s="10"/>
      <c r="ILZ63" s="10"/>
      <c r="IMA63" s="10"/>
      <c r="IMB63" s="10"/>
      <c r="IMC63" s="10"/>
      <c r="IMD63" s="10"/>
      <c r="IME63" s="10"/>
      <c r="IMF63" s="10"/>
      <c r="IMG63" s="10"/>
      <c r="IMH63" s="10"/>
      <c r="IMI63" s="10"/>
      <c r="IMJ63" s="10"/>
      <c r="IMK63" s="10"/>
      <c r="IML63" s="10"/>
      <c r="IMM63" s="10"/>
      <c r="IMN63" s="10"/>
      <c r="IMO63" s="10"/>
      <c r="IMP63" s="10"/>
      <c r="IMQ63" s="10"/>
      <c r="IMR63" s="10"/>
      <c r="IMS63" s="10"/>
      <c r="IMT63" s="10"/>
      <c r="IMU63" s="10"/>
      <c r="IMV63" s="10"/>
      <c r="IMW63" s="10"/>
      <c r="IMX63" s="10"/>
      <c r="IMY63" s="10"/>
      <c r="IMZ63" s="10"/>
      <c r="INA63" s="10"/>
      <c r="INB63" s="10"/>
      <c r="INC63" s="10"/>
      <c r="IND63" s="10"/>
      <c r="INE63" s="10"/>
      <c r="INF63" s="10"/>
      <c r="ING63" s="10"/>
      <c r="INH63" s="10"/>
      <c r="INI63" s="10"/>
      <c r="INJ63" s="10"/>
      <c r="INK63" s="10"/>
      <c r="INL63" s="10"/>
      <c r="INM63" s="10"/>
      <c r="INN63" s="10"/>
      <c r="INO63" s="10"/>
      <c r="INP63" s="10"/>
      <c r="INQ63" s="10"/>
      <c r="INR63" s="10"/>
      <c r="INS63" s="10"/>
      <c r="INT63" s="10"/>
      <c r="INU63" s="10"/>
      <c r="INV63" s="10"/>
      <c r="INW63" s="10"/>
      <c r="INX63" s="10"/>
      <c r="INY63" s="10"/>
      <c r="INZ63" s="10"/>
      <c r="IOA63" s="10"/>
      <c r="IOB63" s="10"/>
      <c r="IOC63" s="10"/>
      <c r="IOD63" s="10"/>
      <c r="IOE63" s="10"/>
      <c r="IOF63" s="10"/>
      <c r="IOG63" s="10"/>
      <c r="IOH63" s="10"/>
      <c r="IOI63" s="10"/>
      <c r="IOJ63" s="10"/>
      <c r="IOK63" s="10"/>
      <c r="IOL63" s="10"/>
      <c r="IOM63" s="10"/>
      <c r="ION63" s="10"/>
      <c r="IOO63" s="10"/>
      <c r="IOP63" s="10"/>
      <c r="IOQ63" s="10"/>
      <c r="IOR63" s="10"/>
      <c r="IOS63" s="10"/>
      <c r="IOT63" s="10"/>
      <c r="IOU63" s="10"/>
      <c r="IOV63" s="10"/>
      <c r="IOW63" s="10"/>
      <c r="IOX63" s="10"/>
      <c r="IOY63" s="10"/>
      <c r="IOZ63" s="10"/>
      <c r="IPA63" s="10"/>
      <c r="IPB63" s="10"/>
      <c r="IPC63" s="10"/>
      <c r="IPD63" s="10"/>
      <c r="IPE63" s="10"/>
      <c r="IPF63" s="10"/>
      <c r="IPG63" s="10"/>
      <c r="IPH63" s="10"/>
      <c r="IPI63" s="10"/>
      <c r="IPJ63" s="10"/>
      <c r="IPK63" s="10"/>
      <c r="IPL63" s="10"/>
      <c r="IPM63" s="10"/>
      <c r="IPN63" s="10"/>
      <c r="IPO63" s="10"/>
      <c r="IPP63" s="10"/>
      <c r="IPQ63" s="10"/>
      <c r="IPR63" s="10"/>
      <c r="IPS63" s="10"/>
      <c r="IPT63" s="10"/>
      <c r="IPU63" s="10"/>
      <c r="IPV63" s="10"/>
      <c r="IPW63" s="10"/>
      <c r="IPX63" s="10"/>
      <c r="IPY63" s="10"/>
      <c r="IPZ63" s="10"/>
      <c r="IQA63" s="10"/>
      <c r="IQB63" s="10"/>
      <c r="IQC63" s="10"/>
      <c r="IQD63" s="10"/>
      <c r="IQE63" s="10"/>
      <c r="IQF63" s="10"/>
      <c r="IQG63" s="10"/>
      <c r="IQH63" s="10"/>
      <c r="IQI63" s="10"/>
      <c r="IQJ63" s="10"/>
      <c r="IQK63" s="10"/>
      <c r="IQL63" s="10"/>
      <c r="IQM63" s="10"/>
      <c r="IQN63" s="10"/>
      <c r="IQO63" s="10"/>
      <c r="IQP63" s="10"/>
      <c r="IQQ63" s="10"/>
      <c r="IQR63" s="10"/>
      <c r="IQS63" s="10"/>
      <c r="IQT63" s="10"/>
      <c r="IQU63" s="10"/>
      <c r="IQV63" s="10"/>
      <c r="IQW63" s="10"/>
      <c r="IQX63" s="10"/>
      <c r="IQY63" s="10"/>
      <c r="IQZ63" s="10"/>
      <c r="IRA63" s="10"/>
      <c r="IRB63" s="10"/>
      <c r="IRC63" s="10"/>
      <c r="IRD63" s="10"/>
      <c r="IRE63" s="10"/>
      <c r="IRF63" s="10"/>
      <c r="IRG63" s="10"/>
      <c r="IRH63" s="10"/>
      <c r="IRI63" s="10"/>
      <c r="IRJ63" s="10"/>
      <c r="IRK63" s="10"/>
      <c r="IRL63" s="10"/>
      <c r="IRM63" s="10"/>
      <c r="IRN63" s="10"/>
      <c r="IRO63" s="10"/>
      <c r="IRP63" s="10"/>
      <c r="IRQ63" s="10"/>
      <c r="IRR63" s="10"/>
      <c r="IRS63" s="10"/>
      <c r="IRT63" s="10"/>
      <c r="IRU63" s="10"/>
      <c r="IRV63" s="10"/>
      <c r="IRW63" s="10"/>
      <c r="IRX63" s="10"/>
      <c r="IRY63" s="10"/>
      <c r="IRZ63" s="10"/>
      <c r="ISA63" s="10"/>
      <c r="ISB63" s="10"/>
      <c r="ISC63" s="10"/>
      <c r="ISD63" s="10"/>
      <c r="ISE63" s="10"/>
      <c r="ISF63" s="10"/>
      <c r="ISG63" s="10"/>
      <c r="ISH63" s="10"/>
      <c r="ISI63" s="10"/>
      <c r="ISJ63" s="10"/>
      <c r="ISK63" s="10"/>
      <c r="ISL63" s="10"/>
      <c r="ISM63" s="10"/>
      <c r="ISN63" s="10"/>
      <c r="ISO63" s="10"/>
      <c r="ISP63" s="10"/>
      <c r="ISQ63" s="10"/>
      <c r="ISR63" s="10"/>
      <c r="ISS63" s="10"/>
      <c r="IST63" s="10"/>
      <c r="ISU63" s="10"/>
      <c r="ISV63" s="10"/>
      <c r="ISW63" s="10"/>
      <c r="ISX63" s="10"/>
      <c r="ISY63" s="10"/>
      <c r="ISZ63" s="10"/>
      <c r="ITA63" s="10"/>
      <c r="ITB63" s="10"/>
      <c r="ITC63" s="10"/>
      <c r="ITD63" s="10"/>
      <c r="ITE63" s="10"/>
      <c r="ITF63" s="10"/>
      <c r="ITG63" s="10"/>
      <c r="ITH63" s="10"/>
      <c r="ITI63" s="10"/>
      <c r="ITJ63" s="10"/>
      <c r="ITK63" s="10"/>
      <c r="ITL63" s="10"/>
      <c r="ITM63" s="10"/>
      <c r="ITN63" s="10"/>
      <c r="ITO63" s="10"/>
      <c r="ITP63" s="10"/>
      <c r="ITQ63" s="10"/>
      <c r="ITR63" s="10"/>
      <c r="ITS63" s="10"/>
      <c r="ITT63" s="10"/>
      <c r="ITU63" s="10"/>
      <c r="ITV63" s="10"/>
      <c r="ITW63" s="10"/>
      <c r="ITX63" s="10"/>
      <c r="ITY63" s="10"/>
      <c r="ITZ63" s="10"/>
      <c r="IUA63" s="10"/>
      <c r="IUB63" s="10"/>
      <c r="IUC63" s="10"/>
      <c r="IUD63" s="10"/>
      <c r="IUE63" s="10"/>
      <c r="IUF63" s="10"/>
      <c r="IUG63" s="10"/>
      <c r="IUH63" s="10"/>
      <c r="IUI63" s="10"/>
      <c r="IUJ63" s="10"/>
      <c r="IUK63" s="10"/>
      <c r="IUL63" s="10"/>
      <c r="IUM63" s="10"/>
      <c r="IUN63" s="10"/>
      <c r="IUO63" s="10"/>
      <c r="IUP63" s="10"/>
      <c r="IUQ63" s="10"/>
      <c r="IUR63" s="10"/>
      <c r="IUS63" s="10"/>
      <c r="IUT63" s="10"/>
      <c r="IUU63" s="10"/>
      <c r="IUV63" s="10"/>
      <c r="IUW63" s="10"/>
      <c r="IUX63" s="10"/>
      <c r="IUY63" s="10"/>
      <c r="IUZ63" s="10"/>
      <c r="IVA63" s="10"/>
      <c r="IVB63" s="10"/>
      <c r="IVC63" s="10"/>
      <c r="IVD63" s="10"/>
      <c r="IVE63" s="10"/>
      <c r="IVF63" s="10"/>
      <c r="IVG63" s="10"/>
      <c r="IVH63" s="10"/>
      <c r="IVI63" s="10"/>
      <c r="IVJ63" s="10"/>
      <c r="IVK63" s="10"/>
      <c r="IVL63" s="10"/>
      <c r="IVM63" s="10"/>
      <c r="IVN63" s="10"/>
      <c r="IVO63" s="10"/>
      <c r="IVP63" s="10"/>
      <c r="IVQ63" s="10"/>
      <c r="IVR63" s="10"/>
      <c r="IVS63" s="10"/>
      <c r="IVT63" s="10"/>
      <c r="IVU63" s="10"/>
      <c r="IVV63" s="10"/>
      <c r="IVW63" s="10"/>
      <c r="IVX63" s="10"/>
      <c r="IVY63" s="10"/>
      <c r="IVZ63" s="10"/>
      <c r="IWA63" s="10"/>
      <c r="IWB63" s="10"/>
      <c r="IWC63" s="10"/>
      <c r="IWD63" s="10"/>
      <c r="IWE63" s="10"/>
      <c r="IWF63" s="10"/>
      <c r="IWG63" s="10"/>
      <c r="IWH63" s="10"/>
      <c r="IWI63" s="10"/>
      <c r="IWJ63" s="10"/>
      <c r="IWK63" s="10"/>
      <c r="IWL63" s="10"/>
      <c r="IWM63" s="10"/>
      <c r="IWN63" s="10"/>
      <c r="IWO63" s="10"/>
      <c r="IWP63" s="10"/>
      <c r="IWQ63" s="10"/>
      <c r="IWR63" s="10"/>
      <c r="IWS63" s="10"/>
      <c r="IWT63" s="10"/>
      <c r="IWU63" s="10"/>
      <c r="IWV63" s="10"/>
      <c r="IWW63" s="10"/>
      <c r="IWX63" s="10"/>
      <c r="IWY63" s="10"/>
      <c r="IWZ63" s="10"/>
      <c r="IXA63" s="10"/>
      <c r="IXB63" s="10"/>
      <c r="IXC63" s="10"/>
      <c r="IXD63" s="10"/>
      <c r="IXE63" s="10"/>
      <c r="IXF63" s="10"/>
      <c r="IXG63" s="10"/>
      <c r="IXH63" s="10"/>
      <c r="IXI63" s="10"/>
      <c r="IXJ63" s="10"/>
      <c r="IXK63" s="10"/>
      <c r="IXL63" s="10"/>
      <c r="IXM63" s="10"/>
      <c r="IXN63" s="10"/>
      <c r="IXO63" s="10"/>
      <c r="IXP63" s="10"/>
      <c r="IXQ63" s="10"/>
      <c r="IXR63" s="10"/>
      <c r="IXS63" s="10"/>
      <c r="IXT63" s="10"/>
      <c r="IXU63" s="10"/>
      <c r="IXV63" s="10"/>
      <c r="IXW63" s="10"/>
      <c r="IXX63" s="10"/>
      <c r="IXY63" s="10"/>
      <c r="IXZ63" s="10"/>
      <c r="IYA63" s="10"/>
      <c r="IYB63" s="10"/>
      <c r="IYC63" s="10"/>
      <c r="IYD63" s="10"/>
      <c r="IYE63" s="10"/>
      <c r="IYF63" s="10"/>
      <c r="IYG63" s="10"/>
      <c r="IYH63" s="10"/>
      <c r="IYI63" s="10"/>
      <c r="IYJ63" s="10"/>
      <c r="IYK63" s="10"/>
      <c r="IYL63" s="10"/>
      <c r="IYM63" s="10"/>
      <c r="IYN63" s="10"/>
      <c r="IYO63" s="10"/>
      <c r="IYP63" s="10"/>
      <c r="IYQ63" s="10"/>
      <c r="IYR63" s="10"/>
      <c r="IYS63" s="10"/>
      <c r="IYT63" s="10"/>
      <c r="IYU63" s="10"/>
      <c r="IYV63" s="10"/>
      <c r="IYW63" s="10"/>
      <c r="IYX63" s="10"/>
      <c r="IYY63" s="10"/>
      <c r="IYZ63" s="10"/>
      <c r="IZA63" s="10"/>
      <c r="IZB63" s="10"/>
      <c r="IZC63" s="10"/>
      <c r="IZD63" s="10"/>
      <c r="IZE63" s="10"/>
      <c r="IZF63" s="10"/>
      <c r="IZG63" s="10"/>
      <c r="IZH63" s="10"/>
      <c r="IZI63" s="10"/>
      <c r="IZJ63" s="10"/>
      <c r="IZK63" s="10"/>
      <c r="IZL63" s="10"/>
      <c r="IZM63" s="10"/>
      <c r="IZN63" s="10"/>
      <c r="IZO63" s="10"/>
      <c r="IZP63" s="10"/>
      <c r="IZQ63" s="10"/>
      <c r="IZR63" s="10"/>
      <c r="IZS63" s="10"/>
      <c r="IZT63" s="10"/>
      <c r="IZU63" s="10"/>
      <c r="IZV63" s="10"/>
      <c r="IZW63" s="10"/>
      <c r="IZX63" s="10"/>
      <c r="IZY63" s="10"/>
      <c r="IZZ63" s="10"/>
      <c r="JAA63" s="10"/>
      <c r="JAB63" s="10"/>
      <c r="JAC63" s="10"/>
      <c r="JAD63" s="10"/>
      <c r="JAE63" s="10"/>
      <c r="JAF63" s="10"/>
      <c r="JAG63" s="10"/>
      <c r="JAH63" s="10"/>
      <c r="JAI63" s="10"/>
      <c r="JAJ63" s="10"/>
      <c r="JAK63" s="10"/>
      <c r="JAL63" s="10"/>
      <c r="JAM63" s="10"/>
      <c r="JAN63" s="10"/>
      <c r="JAO63" s="10"/>
      <c r="JAP63" s="10"/>
      <c r="JAQ63" s="10"/>
      <c r="JAR63" s="10"/>
      <c r="JAS63" s="10"/>
      <c r="JAT63" s="10"/>
      <c r="JAU63" s="10"/>
      <c r="JAV63" s="10"/>
      <c r="JAW63" s="10"/>
      <c r="JAX63" s="10"/>
      <c r="JAY63" s="10"/>
      <c r="JAZ63" s="10"/>
      <c r="JBA63" s="10"/>
      <c r="JBB63" s="10"/>
      <c r="JBC63" s="10"/>
      <c r="JBD63" s="10"/>
      <c r="JBE63" s="10"/>
      <c r="JBF63" s="10"/>
      <c r="JBG63" s="10"/>
      <c r="JBH63" s="10"/>
      <c r="JBI63" s="10"/>
      <c r="JBJ63" s="10"/>
      <c r="JBK63" s="10"/>
      <c r="JBL63" s="10"/>
      <c r="JBM63" s="10"/>
      <c r="JBN63" s="10"/>
      <c r="JBO63" s="10"/>
      <c r="JBP63" s="10"/>
      <c r="JBQ63" s="10"/>
      <c r="JBR63" s="10"/>
      <c r="JBS63" s="10"/>
      <c r="JBT63" s="10"/>
      <c r="JBU63" s="10"/>
      <c r="JBV63" s="10"/>
      <c r="JBW63" s="10"/>
      <c r="JBX63" s="10"/>
      <c r="JBY63" s="10"/>
      <c r="JBZ63" s="10"/>
      <c r="JCA63" s="10"/>
      <c r="JCB63" s="10"/>
      <c r="JCC63" s="10"/>
      <c r="JCD63" s="10"/>
      <c r="JCE63" s="10"/>
      <c r="JCF63" s="10"/>
      <c r="JCG63" s="10"/>
      <c r="JCH63" s="10"/>
      <c r="JCI63" s="10"/>
      <c r="JCJ63" s="10"/>
      <c r="JCK63" s="10"/>
      <c r="JCL63" s="10"/>
      <c r="JCM63" s="10"/>
      <c r="JCN63" s="10"/>
      <c r="JCO63" s="10"/>
      <c r="JCP63" s="10"/>
      <c r="JCQ63" s="10"/>
      <c r="JCR63" s="10"/>
      <c r="JCS63" s="10"/>
      <c r="JCT63" s="10"/>
      <c r="JCU63" s="10"/>
      <c r="JCV63" s="10"/>
      <c r="JCW63" s="10"/>
      <c r="JCX63" s="10"/>
      <c r="JCY63" s="10"/>
      <c r="JCZ63" s="10"/>
      <c r="JDA63" s="10"/>
      <c r="JDB63" s="10"/>
      <c r="JDC63" s="10"/>
      <c r="JDD63" s="10"/>
      <c r="JDE63" s="10"/>
      <c r="JDF63" s="10"/>
      <c r="JDG63" s="10"/>
      <c r="JDH63" s="10"/>
      <c r="JDI63" s="10"/>
      <c r="JDJ63" s="10"/>
      <c r="JDK63" s="10"/>
      <c r="JDL63" s="10"/>
      <c r="JDM63" s="10"/>
      <c r="JDN63" s="10"/>
      <c r="JDO63" s="10"/>
      <c r="JDP63" s="10"/>
      <c r="JDQ63" s="10"/>
      <c r="JDR63" s="10"/>
      <c r="JDS63" s="10"/>
      <c r="JDT63" s="10"/>
      <c r="JDU63" s="10"/>
      <c r="JDV63" s="10"/>
      <c r="JDW63" s="10"/>
      <c r="JDX63" s="10"/>
      <c r="JDY63" s="10"/>
      <c r="JDZ63" s="10"/>
      <c r="JEA63" s="10"/>
      <c r="JEB63" s="10"/>
      <c r="JEC63" s="10"/>
      <c r="JED63" s="10"/>
      <c r="JEE63" s="10"/>
      <c r="JEF63" s="10"/>
      <c r="JEG63" s="10"/>
      <c r="JEH63" s="10"/>
      <c r="JEI63" s="10"/>
      <c r="JEJ63" s="10"/>
      <c r="JEK63" s="10"/>
      <c r="JEL63" s="10"/>
      <c r="JEM63" s="10"/>
      <c r="JEN63" s="10"/>
      <c r="JEO63" s="10"/>
      <c r="JEP63" s="10"/>
      <c r="JEQ63" s="10"/>
      <c r="JER63" s="10"/>
      <c r="JES63" s="10"/>
      <c r="JET63" s="10"/>
      <c r="JEU63" s="10"/>
      <c r="JEV63" s="10"/>
      <c r="JEW63" s="10"/>
      <c r="JEX63" s="10"/>
      <c r="JEY63" s="10"/>
      <c r="JEZ63" s="10"/>
      <c r="JFA63" s="10"/>
      <c r="JFB63" s="10"/>
      <c r="JFC63" s="10"/>
      <c r="JFD63" s="10"/>
      <c r="JFE63" s="10"/>
      <c r="JFF63" s="10"/>
      <c r="JFG63" s="10"/>
      <c r="JFH63" s="10"/>
      <c r="JFI63" s="10"/>
      <c r="JFJ63" s="10"/>
      <c r="JFK63" s="10"/>
      <c r="JFL63" s="10"/>
      <c r="JFM63" s="10"/>
      <c r="JFN63" s="10"/>
      <c r="JFO63" s="10"/>
      <c r="JFP63" s="10"/>
      <c r="JFQ63" s="10"/>
      <c r="JFR63" s="10"/>
      <c r="JFS63" s="10"/>
      <c r="JFT63" s="10"/>
      <c r="JFU63" s="10"/>
      <c r="JFV63" s="10"/>
      <c r="JFW63" s="10"/>
      <c r="JFX63" s="10"/>
      <c r="JFY63" s="10"/>
      <c r="JFZ63" s="10"/>
      <c r="JGA63" s="10"/>
      <c r="JGB63" s="10"/>
      <c r="JGC63" s="10"/>
      <c r="JGD63" s="10"/>
      <c r="JGE63" s="10"/>
      <c r="JGF63" s="10"/>
      <c r="JGG63" s="10"/>
      <c r="JGH63" s="10"/>
      <c r="JGI63" s="10"/>
      <c r="JGJ63" s="10"/>
      <c r="JGK63" s="10"/>
      <c r="JGL63" s="10"/>
      <c r="JGM63" s="10"/>
      <c r="JGN63" s="10"/>
      <c r="JGO63" s="10"/>
      <c r="JGP63" s="10"/>
      <c r="JGQ63" s="10"/>
      <c r="JGR63" s="10"/>
      <c r="JGS63" s="10"/>
      <c r="JGT63" s="10"/>
      <c r="JGU63" s="10"/>
      <c r="JGV63" s="10"/>
      <c r="JGW63" s="10"/>
      <c r="JGX63" s="10"/>
      <c r="JGY63" s="10"/>
      <c r="JGZ63" s="10"/>
      <c r="JHA63" s="10"/>
      <c r="JHB63" s="10"/>
      <c r="JHC63" s="10"/>
      <c r="JHD63" s="10"/>
      <c r="JHE63" s="10"/>
      <c r="JHF63" s="10"/>
      <c r="JHG63" s="10"/>
      <c r="JHH63" s="10"/>
      <c r="JHI63" s="10"/>
      <c r="JHJ63" s="10"/>
      <c r="JHK63" s="10"/>
      <c r="JHL63" s="10"/>
      <c r="JHM63" s="10"/>
      <c r="JHN63" s="10"/>
      <c r="JHO63" s="10"/>
      <c r="JHP63" s="10"/>
      <c r="JHQ63" s="10"/>
      <c r="JHR63" s="10"/>
      <c r="JHS63" s="10"/>
      <c r="JHT63" s="10"/>
      <c r="JHU63" s="10"/>
      <c r="JHV63" s="10"/>
      <c r="JHW63" s="10"/>
      <c r="JHX63" s="10"/>
      <c r="JHY63" s="10"/>
      <c r="JHZ63" s="10"/>
      <c r="JIA63" s="10"/>
      <c r="JIB63" s="10"/>
      <c r="JIC63" s="10"/>
      <c r="JID63" s="10"/>
      <c r="JIE63" s="10"/>
      <c r="JIF63" s="10"/>
      <c r="JIG63" s="10"/>
      <c r="JIH63" s="10"/>
      <c r="JII63" s="10"/>
      <c r="JIJ63" s="10"/>
      <c r="JIK63" s="10"/>
      <c r="JIL63" s="10"/>
      <c r="JIM63" s="10"/>
      <c r="JIN63" s="10"/>
      <c r="JIO63" s="10"/>
      <c r="JIP63" s="10"/>
      <c r="JIQ63" s="10"/>
      <c r="JIR63" s="10"/>
      <c r="JIS63" s="10"/>
      <c r="JIT63" s="10"/>
      <c r="JIU63" s="10"/>
      <c r="JIV63" s="10"/>
      <c r="JIW63" s="10"/>
      <c r="JIX63" s="10"/>
      <c r="JIY63" s="10"/>
      <c r="JIZ63" s="10"/>
      <c r="JJA63" s="10"/>
      <c r="JJB63" s="10"/>
      <c r="JJC63" s="10"/>
      <c r="JJD63" s="10"/>
      <c r="JJE63" s="10"/>
      <c r="JJF63" s="10"/>
      <c r="JJG63" s="10"/>
      <c r="JJH63" s="10"/>
      <c r="JJI63" s="10"/>
      <c r="JJJ63" s="10"/>
      <c r="JJK63" s="10"/>
      <c r="JJL63" s="10"/>
      <c r="JJM63" s="10"/>
      <c r="JJN63" s="10"/>
      <c r="JJO63" s="10"/>
      <c r="JJP63" s="10"/>
      <c r="JJQ63" s="10"/>
      <c r="JJR63" s="10"/>
      <c r="JJS63" s="10"/>
      <c r="JJT63" s="10"/>
      <c r="JJU63" s="10"/>
      <c r="JJV63" s="10"/>
      <c r="JJW63" s="10"/>
      <c r="JJX63" s="10"/>
      <c r="JJY63" s="10"/>
      <c r="JJZ63" s="10"/>
      <c r="JKA63" s="10"/>
      <c r="JKB63" s="10"/>
      <c r="JKC63" s="10"/>
      <c r="JKD63" s="10"/>
      <c r="JKE63" s="10"/>
      <c r="JKF63" s="10"/>
      <c r="JKG63" s="10"/>
      <c r="JKH63" s="10"/>
      <c r="JKI63" s="10"/>
      <c r="JKJ63" s="10"/>
      <c r="JKK63" s="10"/>
      <c r="JKL63" s="10"/>
      <c r="JKM63" s="10"/>
      <c r="JKN63" s="10"/>
      <c r="JKO63" s="10"/>
      <c r="JKP63" s="10"/>
      <c r="JKQ63" s="10"/>
      <c r="JKR63" s="10"/>
      <c r="JKS63" s="10"/>
      <c r="JKT63" s="10"/>
      <c r="JKU63" s="10"/>
      <c r="JKV63" s="10"/>
      <c r="JKW63" s="10"/>
      <c r="JKX63" s="10"/>
      <c r="JKY63" s="10"/>
      <c r="JKZ63" s="10"/>
      <c r="JLA63" s="10"/>
      <c r="JLB63" s="10"/>
      <c r="JLC63" s="10"/>
      <c r="JLD63" s="10"/>
      <c r="JLE63" s="10"/>
      <c r="JLF63" s="10"/>
      <c r="JLG63" s="10"/>
      <c r="JLH63" s="10"/>
      <c r="JLI63" s="10"/>
      <c r="JLJ63" s="10"/>
      <c r="JLK63" s="10"/>
      <c r="JLL63" s="10"/>
      <c r="JLM63" s="10"/>
      <c r="JLN63" s="10"/>
      <c r="JLO63" s="10"/>
      <c r="JLP63" s="10"/>
      <c r="JLQ63" s="10"/>
      <c r="JLR63" s="10"/>
      <c r="JLS63" s="10"/>
      <c r="JLT63" s="10"/>
      <c r="JLU63" s="10"/>
      <c r="JLV63" s="10"/>
      <c r="JLW63" s="10"/>
      <c r="JLX63" s="10"/>
      <c r="JLY63" s="10"/>
      <c r="JLZ63" s="10"/>
      <c r="JMA63" s="10"/>
      <c r="JMB63" s="10"/>
      <c r="JMC63" s="10"/>
      <c r="JMD63" s="10"/>
      <c r="JME63" s="10"/>
      <c r="JMF63" s="10"/>
      <c r="JMG63" s="10"/>
      <c r="JMH63" s="10"/>
      <c r="JMI63" s="10"/>
      <c r="JMJ63" s="10"/>
      <c r="JMK63" s="10"/>
      <c r="JML63" s="10"/>
      <c r="JMM63" s="10"/>
      <c r="JMN63" s="10"/>
      <c r="JMO63" s="10"/>
      <c r="JMP63" s="10"/>
      <c r="JMQ63" s="10"/>
      <c r="JMR63" s="10"/>
      <c r="JMS63" s="10"/>
      <c r="JMT63" s="10"/>
      <c r="JMU63" s="10"/>
      <c r="JMV63" s="10"/>
      <c r="JMW63" s="10"/>
      <c r="JMX63" s="10"/>
      <c r="JMY63" s="10"/>
      <c r="JMZ63" s="10"/>
      <c r="JNA63" s="10"/>
      <c r="JNB63" s="10"/>
      <c r="JNC63" s="10"/>
      <c r="JND63" s="10"/>
      <c r="JNE63" s="10"/>
      <c r="JNF63" s="10"/>
      <c r="JNG63" s="10"/>
      <c r="JNH63" s="10"/>
      <c r="JNI63" s="10"/>
      <c r="JNJ63" s="10"/>
      <c r="JNK63" s="10"/>
      <c r="JNL63" s="10"/>
      <c r="JNM63" s="10"/>
      <c r="JNN63" s="10"/>
      <c r="JNO63" s="10"/>
      <c r="JNP63" s="10"/>
      <c r="JNQ63" s="10"/>
      <c r="JNR63" s="10"/>
      <c r="JNS63" s="10"/>
      <c r="JNT63" s="10"/>
      <c r="JNU63" s="10"/>
      <c r="JNV63" s="10"/>
      <c r="JNW63" s="10"/>
      <c r="JNX63" s="10"/>
      <c r="JNY63" s="10"/>
      <c r="JNZ63" s="10"/>
      <c r="JOA63" s="10"/>
      <c r="JOB63" s="10"/>
      <c r="JOC63" s="10"/>
      <c r="JOD63" s="10"/>
      <c r="JOE63" s="10"/>
      <c r="JOF63" s="10"/>
      <c r="JOG63" s="10"/>
      <c r="JOH63" s="10"/>
      <c r="JOI63" s="10"/>
      <c r="JOJ63" s="10"/>
      <c r="JOK63" s="10"/>
      <c r="JOL63" s="10"/>
      <c r="JOM63" s="10"/>
      <c r="JON63" s="10"/>
      <c r="JOO63" s="10"/>
      <c r="JOP63" s="10"/>
      <c r="JOQ63" s="10"/>
      <c r="JOR63" s="10"/>
      <c r="JOS63" s="10"/>
      <c r="JOT63" s="10"/>
      <c r="JOU63" s="10"/>
      <c r="JOV63" s="10"/>
      <c r="JOW63" s="10"/>
      <c r="JOX63" s="10"/>
      <c r="JOY63" s="10"/>
      <c r="JOZ63" s="10"/>
      <c r="JPA63" s="10"/>
      <c r="JPB63" s="10"/>
      <c r="JPC63" s="10"/>
      <c r="JPD63" s="10"/>
      <c r="JPE63" s="10"/>
      <c r="JPF63" s="10"/>
      <c r="JPG63" s="10"/>
      <c r="JPH63" s="10"/>
      <c r="JPI63" s="10"/>
      <c r="JPJ63" s="10"/>
      <c r="JPK63" s="10"/>
      <c r="JPL63" s="10"/>
      <c r="JPM63" s="10"/>
      <c r="JPN63" s="10"/>
      <c r="JPO63" s="10"/>
      <c r="JPP63" s="10"/>
      <c r="JPQ63" s="10"/>
      <c r="JPR63" s="10"/>
      <c r="JPS63" s="10"/>
      <c r="JPT63" s="10"/>
      <c r="JPU63" s="10"/>
      <c r="JPV63" s="10"/>
      <c r="JPW63" s="10"/>
      <c r="JPX63" s="10"/>
      <c r="JPY63" s="10"/>
      <c r="JPZ63" s="10"/>
      <c r="JQA63" s="10"/>
      <c r="JQB63" s="10"/>
      <c r="JQC63" s="10"/>
      <c r="JQD63" s="10"/>
      <c r="JQE63" s="10"/>
      <c r="JQF63" s="10"/>
      <c r="JQG63" s="10"/>
      <c r="JQH63" s="10"/>
      <c r="JQI63" s="10"/>
      <c r="JQJ63" s="10"/>
      <c r="JQK63" s="10"/>
      <c r="JQL63" s="10"/>
      <c r="JQM63" s="10"/>
      <c r="JQN63" s="10"/>
      <c r="JQO63" s="10"/>
      <c r="JQP63" s="10"/>
      <c r="JQQ63" s="10"/>
      <c r="JQR63" s="10"/>
      <c r="JQS63" s="10"/>
      <c r="JQT63" s="10"/>
      <c r="JQU63" s="10"/>
      <c r="JQV63" s="10"/>
      <c r="JQW63" s="10"/>
      <c r="JQX63" s="10"/>
      <c r="JQY63" s="10"/>
      <c r="JQZ63" s="10"/>
      <c r="JRA63" s="10"/>
      <c r="JRB63" s="10"/>
      <c r="JRC63" s="10"/>
      <c r="JRD63" s="10"/>
      <c r="JRE63" s="10"/>
      <c r="JRF63" s="10"/>
      <c r="JRG63" s="10"/>
      <c r="JRH63" s="10"/>
      <c r="JRI63" s="10"/>
      <c r="JRJ63" s="10"/>
      <c r="JRK63" s="10"/>
      <c r="JRL63" s="10"/>
      <c r="JRM63" s="10"/>
      <c r="JRN63" s="10"/>
      <c r="JRO63" s="10"/>
      <c r="JRP63" s="10"/>
      <c r="JRQ63" s="10"/>
      <c r="JRR63" s="10"/>
      <c r="JRS63" s="10"/>
      <c r="JRT63" s="10"/>
      <c r="JRU63" s="10"/>
      <c r="JRV63" s="10"/>
      <c r="JRW63" s="10"/>
      <c r="JRX63" s="10"/>
      <c r="JRY63" s="10"/>
      <c r="JRZ63" s="10"/>
      <c r="JSA63" s="10"/>
      <c r="JSB63" s="10"/>
      <c r="JSC63" s="10"/>
      <c r="JSD63" s="10"/>
      <c r="JSE63" s="10"/>
      <c r="JSF63" s="10"/>
      <c r="JSG63" s="10"/>
      <c r="JSH63" s="10"/>
      <c r="JSI63" s="10"/>
      <c r="JSJ63" s="10"/>
      <c r="JSK63" s="10"/>
      <c r="JSL63" s="10"/>
      <c r="JSM63" s="10"/>
      <c r="JSN63" s="10"/>
      <c r="JSO63" s="10"/>
      <c r="JSP63" s="10"/>
      <c r="JSQ63" s="10"/>
      <c r="JSR63" s="10"/>
      <c r="JSS63" s="10"/>
      <c r="JST63" s="10"/>
      <c r="JSU63" s="10"/>
      <c r="JSV63" s="10"/>
      <c r="JSW63" s="10"/>
      <c r="JSX63" s="10"/>
      <c r="JSY63" s="10"/>
      <c r="JSZ63" s="10"/>
      <c r="JTA63" s="10"/>
      <c r="JTB63" s="10"/>
      <c r="JTC63" s="10"/>
      <c r="JTD63" s="10"/>
      <c r="JTE63" s="10"/>
      <c r="JTF63" s="10"/>
      <c r="JTG63" s="10"/>
      <c r="JTH63" s="10"/>
      <c r="JTI63" s="10"/>
      <c r="JTJ63" s="10"/>
      <c r="JTK63" s="10"/>
      <c r="JTL63" s="10"/>
      <c r="JTM63" s="10"/>
      <c r="JTN63" s="10"/>
      <c r="JTO63" s="10"/>
      <c r="JTP63" s="10"/>
      <c r="JTQ63" s="10"/>
      <c r="JTR63" s="10"/>
      <c r="JTS63" s="10"/>
      <c r="JTT63" s="10"/>
      <c r="JTU63" s="10"/>
      <c r="JTV63" s="10"/>
      <c r="JTW63" s="10"/>
      <c r="JTX63" s="10"/>
      <c r="JTY63" s="10"/>
      <c r="JTZ63" s="10"/>
      <c r="JUA63" s="10"/>
      <c r="JUB63" s="10"/>
      <c r="JUC63" s="10"/>
      <c r="JUD63" s="10"/>
      <c r="JUE63" s="10"/>
      <c r="JUF63" s="10"/>
      <c r="JUG63" s="10"/>
      <c r="JUH63" s="10"/>
      <c r="JUI63" s="10"/>
      <c r="JUJ63" s="10"/>
      <c r="JUK63" s="10"/>
      <c r="JUL63" s="10"/>
      <c r="JUM63" s="10"/>
      <c r="JUN63" s="10"/>
      <c r="JUO63" s="10"/>
      <c r="JUP63" s="10"/>
      <c r="JUQ63" s="10"/>
      <c r="JUR63" s="10"/>
      <c r="JUS63" s="10"/>
      <c r="JUT63" s="10"/>
      <c r="JUU63" s="10"/>
      <c r="JUV63" s="10"/>
      <c r="JUW63" s="10"/>
      <c r="JUX63" s="10"/>
      <c r="JUY63" s="10"/>
      <c r="JUZ63" s="10"/>
      <c r="JVA63" s="10"/>
      <c r="JVB63" s="10"/>
      <c r="JVC63" s="10"/>
      <c r="JVD63" s="10"/>
      <c r="JVE63" s="10"/>
      <c r="JVF63" s="10"/>
      <c r="JVG63" s="10"/>
      <c r="JVH63" s="10"/>
      <c r="JVI63" s="10"/>
      <c r="JVJ63" s="10"/>
      <c r="JVK63" s="10"/>
      <c r="JVL63" s="10"/>
      <c r="JVM63" s="10"/>
      <c r="JVN63" s="10"/>
      <c r="JVO63" s="10"/>
      <c r="JVP63" s="10"/>
      <c r="JVQ63" s="10"/>
      <c r="JVR63" s="10"/>
      <c r="JVS63" s="10"/>
      <c r="JVT63" s="10"/>
      <c r="JVU63" s="10"/>
      <c r="JVV63" s="10"/>
      <c r="JVW63" s="10"/>
      <c r="JVX63" s="10"/>
      <c r="JVY63" s="10"/>
      <c r="JVZ63" s="10"/>
      <c r="JWA63" s="10"/>
      <c r="JWB63" s="10"/>
      <c r="JWC63" s="10"/>
      <c r="JWD63" s="10"/>
      <c r="JWE63" s="10"/>
      <c r="JWF63" s="10"/>
      <c r="JWG63" s="10"/>
      <c r="JWH63" s="10"/>
      <c r="JWI63" s="10"/>
      <c r="JWJ63" s="10"/>
      <c r="JWK63" s="10"/>
      <c r="JWL63" s="10"/>
      <c r="JWM63" s="10"/>
      <c r="JWN63" s="10"/>
      <c r="JWO63" s="10"/>
      <c r="JWP63" s="10"/>
      <c r="JWQ63" s="10"/>
      <c r="JWR63" s="10"/>
      <c r="JWS63" s="10"/>
      <c r="JWT63" s="10"/>
      <c r="JWU63" s="10"/>
      <c r="JWV63" s="10"/>
      <c r="JWW63" s="10"/>
      <c r="JWX63" s="10"/>
      <c r="JWY63" s="10"/>
      <c r="JWZ63" s="10"/>
      <c r="JXA63" s="10"/>
      <c r="JXB63" s="10"/>
      <c r="JXC63" s="10"/>
      <c r="JXD63" s="10"/>
      <c r="JXE63" s="10"/>
      <c r="JXF63" s="10"/>
      <c r="JXG63" s="10"/>
      <c r="JXH63" s="10"/>
      <c r="JXI63" s="10"/>
      <c r="JXJ63" s="10"/>
      <c r="JXK63" s="10"/>
      <c r="JXL63" s="10"/>
      <c r="JXM63" s="10"/>
      <c r="JXN63" s="10"/>
      <c r="JXO63" s="10"/>
      <c r="JXP63" s="10"/>
      <c r="JXQ63" s="10"/>
      <c r="JXR63" s="10"/>
      <c r="JXS63" s="10"/>
      <c r="JXT63" s="10"/>
      <c r="JXU63" s="10"/>
      <c r="JXV63" s="10"/>
      <c r="JXW63" s="10"/>
      <c r="JXX63" s="10"/>
      <c r="JXY63" s="10"/>
      <c r="JXZ63" s="10"/>
      <c r="JYA63" s="10"/>
      <c r="JYB63" s="10"/>
      <c r="JYC63" s="10"/>
      <c r="JYD63" s="10"/>
      <c r="JYE63" s="10"/>
      <c r="JYF63" s="10"/>
      <c r="JYG63" s="10"/>
      <c r="JYH63" s="10"/>
      <c r="JYI63" s="10"/>
      <c r="JYJ63" s="10"/>
      <c r="JYK63" s="10"/>
      <c r="JYL63" s="10"/>
      <c r="JYM63" s="10"/>
      <c r="JYN63" s="10"/>
      <c r="JYO63" s="10"/>
      <c r="JYP63" s="10"/>
      <c r="JYQ63" s="10"/>
      <c r="JYR63" s="10"/>
      <c r="JYS63" s="10"/>
      <c r="JYT63" s="10"/>
      <c r="JYU63" s="10"/>
      <c r="JYV63" s="10"/>
      <c r="JYW63" s="10"/>
      <c r="JYX63" s="10"/>
      <c r="JYY63" s="10"/>
      <c r="JYZ63" s="10"/>
      <c r="JZA63" s="10"/>
      <c r="JZB63" s="10"/>
      <c r="JZC63" s="10"/>
      <c r="JZD63" s="10"/>
      <c r="JZE63" s="10"/>
      <c r="JZF63" s="10"/>
      <c r="JZG63" s="10"/>
      <c r="JZH63" s="10"/>
      <c r="JZI63" s="10"/>
      <c r="JZJ63" s="10"/>
      <c r="JZK63" s="10"/>
      <c r="JZL63" s="10"/>
      <c r="JZM63" s="10"/>
      <c r="JZN63" s="10"/>
      <c r="JZO63" s="10"/>
      <c r="JZP63" s="10"/>
      <c r="JZQ63" s="10"/>
      <c r="JZR63" s="10"/>
      <c r="JZS63" s="10"/>
      <c r="JZT63" s="10"/>
      <c r="JZU63" s="10"/>
      <c r="JZV63" s="10"/>
      <c r="JZW63" s="10"/>
      <c r="JZX63" s="10"/>
      <c r="JZY63" s="10"/>
      <c r="JZZ63" s="10"/>
      <c r="KAA63" s="10"/>
      <c r="KAB63" s="10"/>
      <c r="KAC63" s="10"/>
      <c r="KAD63" s="10"/>
      <c r="KAE63" s="10"/>
      <c r="KAF63" s="10"/>
      <c r="KAG63" s="10"/>
      <c r="KAH63" s="10"/>
      <c r="KAI63" s="10"/>
      <c r="KAJ63" s="10"/>
      <c r="KAK63" s="10"/>
      <c r="KAL63" s="10"/>
      <c r="KAM63" s="10"/>
      <c r="KAN63" s="10"/>
      <c r="KAO63" s="10"/>
      <c r="KAP63" s="10"/>
      <c r="KAQ63" s="10"/>
      <c r="KAR63" s="10"/>
      <c r="KAS63" s="10"/>
      <c r="KAT63" s="10"/>
      <c r="KAU63" s="10"/>
      <c r="KAV63" s="10"/>
      <c r="KAW63" s="10"/>
      <c r="KAX63" s="10"/>
      <c r="KAY63" s="10"/>
      <c r="KAZ63" s="10"/>
      <c r="KBA63" s="10"/>
      <c r="KBB63" s="10"/>
      <c r="KBC63" s="10"/>
      <c r="KBD63" s="10"/>
      <c r="KBE63" s="10"/>
      <c r="KBF63" s="10"/>
      <c r="KBG63" s="10"/>
      <c r="KBH63" s="10"/>
      <c r="KBI63" s="10"/>
      <c r="KBJ63" s="10"/>
      <c r="KBK63" s="10"/>
      <c r="KBL63" s="10"/>
      <c r="KBM63" s="10"/>
      <c r="KBN63" s="10"/>
      <c r="KBO63" s="10"/>
      <c r="KBP63" s="10"/>
      <c r="KBQ63" s="10"/>
      <c r="KBR63" s="10"/>
      <c r="KBS63" s="10"/>
      <c r="KBT63" s="10"/>
      <c r="KBU63" s="10"/>
      <c r="KBV63" s="10"/>
      <c r="KBW63" s="10"/>
      <c r="KBX63" s="10"/>
      <c r="KBY63" s="10"/>
      <c r="KBZ63" s="10"/>
      <c r="KCA63" s="10"/>
      <c r="KCB63" s="10"/>
      <c r="KCC63" s="10"/>
      <c r="KCD63" s="10"/>
      <c r="KCE63" s="10"/>
      <c r="KCF63" s="10"/>
      <c r="KCG63" s="10"/>
      <c r="KCH63" s="10"/>
      <c r="KCI63" s="10"/>
      <c r="KCJ63" s="10"/>
      <c r="KCK63" s="10"/>
      <c r="KCL63" s="10"/>
      <c r="KCM63" s="10"/>
      <c r="KCN63" s="10"/>
      <c r="KCO63" s="10"/>
      <c r="KCP63" s="10"/>
      <c r="KCQ63" s="10"/>
      <c r="KCR63" s="10"/>
      <c r="KCS63" s="10"/>
      <c r="KCT63" s="10"/>
      <c r="KCU63" s="10"/>
      <c r="KCV63" s="10"/>
      <c r="KCW63" s="10"/>
      <c r="KCX63" s="10"/>
      <c r="KCY63" s="10"/>
      <c r="KCZ63" s="10"/>
      <c r="KDA63" s="10"/>
      <c r="KDB63" s="10"/>
      <c r="KDC63" s="10"/>
      <c r="KDD63" s="10"/>
      <c r="KDE63" s="10"/>
      <c r="KDF63" s="10"/>
      <c r="KDG63" s="10"/>
      <c r="KDH63" s="10"/>
      <c r="KDI63" s="10"/>
      <c r="KDJ63" s="10"/>
      <c r="KDK63" s="10"/>
      <c r="KDL63" s="10"/>
      <c r="KDM63" s="10"/>
      <c r="KDN63" s="10"/>
      <c r="KDO63" s="10"/>
      <c r="KDP63" s="10"/>
      <c r="KDQ63" s="10"/>
      <c r="KDR63" s="10"/>
      <c r="KDS63" s="10"/>
      <c r="KDT63" s="10"/>
      <c r="KDU63" s="10"/>
      <c r="KDV63" s="10"/>
      <c r="KDW63" s="10"/>
      <c r="KDX63" s="10"/>
      <c r="KDY63" s="10"/>
      <c r="KDZ63" s="10"/>
      <c r="KEA63" s="10"/>
      <c r="KEB63" s="10"/>
      <c r="KEC63" s="10"/>
      <c r="KED63" s="10"/>
      <c r="KEE63" s="10"/>
      <c r="KEF63" s="10"/>
      <c r="KEG63" s="10"/>
      <c r="KEH63" s="10"/>
      <c r="KEI63" s="10"/>
      <c r="KEJ63" s="10"/>
      <c r="KEK63" s="10"/>
      <c r="KEL63" s="10"/>
      <c r="KEM63" s="10"/>
      <c r="KEN63" s="10"/>
      <c r="KEO63" s="10"/>
      <c r="KEP63" s="10"/>
      <c r="KEQ63" s="10"/>
      <c r="KER63" s="10"/>
      <c r="KES63" s="10"/>
      <c r="KET63" s="10"/>
      <c r="KEU63" s="10"/>
      <c r="KEV63" s="10"/>
      <c r="KEW63" s="10"/>
      <c r="KEX63" s="10"/>
      <c r="KEY63" s="10"/>
      <c r="KEZ63" s="10"/>
      <c r="KFA63" s="10"/>
      <c r="KFB63" s="10"/>
      <c r="KFC63" s="10"/>
      <c r="KFD63" s="10"/>
      <c r="KFE63" s="10"/>
      <c r="KFF63" s="10"/>
      <c r="KFG63" s="10"/>
      <c r="KFH63" s="10"/>
      <c r="KFI63" s="10"/>
      <c r="KFJ63" s="10"/>
      <c r="KFK63" s="10"/>
      <c r="KFL63" s="10"/>
      <c r="KFM63" s="10"/>
      <c r="KFN63" s="10"/>
      <c r="KFO63" s="10"/>
      <c r="KFP63" s="10"/>
      <c r="KFQ63" s="10"/>
      <c r="KFR63" s="10"/>
      <c r="KFS63" s="10"/>
      <c r="KFT63" s="10"/>
      <c r="KFU63" s="10"/>
      <c r="KFV63" s="10"/>
      <c r="KFW63" s="10"/>
      <c r="KFX63" s="10"/>
      <c r="KFY63" s="10"/>
      <c r="KFZ63" s="10"/>
      <c r="KGA63" s="10"/>
      <c r="KGB63" s="10"/>
      <c r="KGC63" s="10"/>
      <c r="KGD63" s="10"/>
      <c r="KGE63" s="10"/>
      <c r="KGF63" s="10"/>
      <c r="KGG63" s="10"/>
      <c r="KGH63" s="10"/>
      <c r="KGI63" s="10"/>
      <c r="KGJ63" s="10"/>
      <c r="KGK63" s="10"/>
      <c r="KGL63" s="10"/>
      <c r="KGM63" s="10"/>
      <c r="KGN63" s="10"/>
      <c r="KGO63" s="10"/>
      <c r="KGP63" s="10"/>
      <c r="KGQ63" s="10"/>
      <c r="KGR63" s="10"/>
      <c r="KGS63" s="10"/>
      <c r="KGT63" s="10"/>
      <c r="KGU63" s="10"/>
      <c r="KGV63" s="10"/>
      <c r="KGW63" s="10"/>
      <c r="KGX63" s="10"/>
      <c r="KGY63" s="10"/>
      <c r="KGZ63" s="10"/>
      <c r="KHA63" s="10"/>
      <c r="KHB63" s="10"/>
      <c r="KHC63" s="10"/>
      <c r="KHD63" s="10"/>
      <c r="KHE63" s="10"/>
      <c r="KHF63" s="10"/>
      <c r="KHG63" s="10"/>
      <c r="KHH63" s="10"/>
      <c r="KHI63" s="10"/>
      <c r="KHJ63" s="10"/>
      <c r="KHK63" s="10"/>
      <c r="KHL63" s="10"/>
      <c r="KHM63" s="10"/>
      <c r="KHN63" s="10"/>
      <c r="KHO63" s="10"/>
      <c r="KHP63" s="10"/>
      <c r="KHQ63" s="10"/>
      <c r="KHR63" s="10"/>
      <c r="KHS63" s="10"/>
      <c r="KHT63" s="10"/>
      <c r="KHU63" s="10"/>
      <c r="KHV63" s="10"/>
      <c r="KHW63" s="10"/>
      <c r="KHX63" s="10"/>
      <c r="KHY63" s="10"/>
      <c r="KHZ63" s="10"/>
      <c r="KIA63" s="10"/>
      <c r="KIB63" s="10"/>
      <c r="KIC63" s="10"/>
      <c r="KID63" s="10"/>
      <c r="KIE63" s="10"/>
      <c r="KIF63" s="10"/>
      <c r="KIG63" s="10"/>
      <c r="KIH63" s="10"/>
      <c r="KII63" s="10"/>
      <c r="KIJ63" s="10"/>
      <c r="KIK63" s="10"/>
      <c r="KIL63" s="10"/>
      <c r="KIM63" s="10"/>
      <c r="KIN63" s="10"/>
      <c r="KIO63" s="10"/>
      <c r="KIP63" s="10"/>
      <c r="KIQ63" s="10"/>
      <c r="KIR63" s="10"/>
      <c r="KIS63" s="10"/>
      <c r="KIT63" s="10"/>
      <c r="KIU63" s="10"/>
      <c r="KIV63" s="10"/>
      <c r="KIW63" s="10"/>
      <c r="KIX63" s="10"/>
      <c r="KIY63" s="10"/>
      <c r="KIZ63" s="10"/>
      <c r="KJA63" s="10"/>
      <c r="KJB63" s="10"/>
      <c r="KJC63" s="10"/>
      <c r="KJD63" s="10"/>
      <c r="KJE63" s="10"/>
      <c r="KJF63" s="10"/>
      <c r="KJG63" s="10"/>
      <c r="KJH63" s="10"/>
      <c r="KJI63" s="10"/>
      <c r="KJJ63" s="10"/>
      <c r="KJK63" s="10"/>
      <c r="KJL63" s="10"/>
      <c r="KJM63" s="10"/>
      <c r="KJN63" s="10"/>
      <c r="KJO63" s="10"/>
      <c r="KJP63" s="10"/>
      <c r="KJQ63" s="10"/>
      <c r="KJR63" s="10"/>
      <c r="KJS63" s="10"/>
      <c r="KJT63" s="10"/>
      <c r="KJU63" s="10"/>
      <c r="KJV63" s="10"/>
      <c r="KJW63" s="10"/>
      <c r="KJX63" s="10"/>
      <c r="KJY63" s="10"/>
      <c r="KJZ63" s="10"/>
      <c r="KKA63" s="10"/>
      <c r="KKB63" s="10"/>
      <c r="KKC63" s="10"/>
      <c r="KKD63" s="10"/>
      <c r="KKE63" s="10"/>
      <c r="KKF63" s="10"/>
      <c r="KKG63" s="10"/>
      <c r="KKH63" s="10"/>
      <c r="KKI63" s="10"/>
      <c r="KKJ63" s="10"/>
      <c r="KKK63" s="10"/>
      <c r="KKL63" s="10"/>
      <c r="KKM63" s="10"/>
      <c r="KKN63" s="10"/>
      <c r="KKO63" s="10"/>
      <c r="KKP63" s="10"/>
      <c r="KKQ63" s="10"/>
      <c r="KKR63" s="10"/>
      <c r="KKS63" s="10"/>
      <c r="KKT63" s="10"/>
      <c r="KKU63" s="10"/>
      <c r="KKV63" s="10"/>
      <c r="KKW63" s="10"/>
      <c r="KKX63" s="10"/>
      <c r="KKY63" s="10"/>
      <c r="KKZ63" s="10"/>
      <c r="KLA63" s="10"/>
      <c r="KLB63" s="10"/>
      <c r="KLC63" s="10"/>
      <c r="KLD63" s="10"/>
      <c r="KLE63" s="10"/>
      <c r="KLF63" s="10"/>
      <c r="KLG63" s="10"/>
      <c r="KLH63" s="10"/>
      <c r="KLI63" s="10"/>
      <c r="KLJ63" s="10"/>
      <c r="KLK63" s="10"/>
      <c r="KLL63" s="10"/>
      <c r="KLM63" s="10"/>
      <c r="KLN63" s="10"/>
      <c r="KLO63" s="10"/>
      <c r="KLP63" s="10"/>
      <c r="KLQ63" s="10"/>
      <c r="KLR63" s="10"/>
      <c r="KLS63" s="10"/>
      <c r="KLT63" s="10"/>
      <c r="KLU63" s="10"/>
      <c r="KLV63" s="10"/>
      <c r="KLW63" s="10"/>
      <c r="KLX63" s="10"/>
      <c r="KLY63" s="10"/>
      <c r="KLZ63" s="10"/>
      <c r="KMA63" s="10"/>
      <c r="KMB63" s="10"/>
      <c r="KMC63" s="10"/>
      <c r="KMD63" s="10"/>
      <c r="KME63" s="10"/>
      <c r="KMF63" s="10"/>
      <c r="KMG63" s="10"/>
      <c r="KMH63" s="10"/>
      <c r="KMI63" s="10"/>
      <c r="KMJ63" s="10"/>
      <c r="KMK63" s="10"/>
      <c r="KML63" s="10"/>
      <c r="KMM63" s="10"/>
      <c r="KMN63" s="10"/>
      <c r="KMO63" s="10"/>
      <c r="KMP63" s="10"/>
      <c r="KMQ63" s="10"/>
      <c r="KMR63" s="10"/>
      <c r="KMS63" s="10"/>
      <c r="KMT63" s="10"/>
      <c r="KMU63" s="10"/>
      <c r="KMV63" s="10"/>
      <c r="KMW63" s="10"/>
      <c r="KMX63" s="10"/>
      <c r="KMY63" s="10"/>
      <c r="KMZ63" s="10"/>
      <c r="KNA63" s="10"/>
      <c r="KNB63" s="10"/>
      <c r="KNC63" s="10"/>
      <c r="KND63" s="10"/>
      <c r="KNE63" s="10"/>
      <c r="KNF63" s="10"/>
      <c r="KNG63" s="10"/>
      <c r="KNH63" s="10"/>
      <c r="KNI63" s="10"/>
      <c r="KNJ63" s="10"/>
      <c r="KNK63" s="10"/>
      <c r="KNL63" s="10"/>
      <c r="KNM63" s="10"/>
      <c r="KNN63" s="10"/>
      <c r="KNO63" s="10"/>
      <c r="KNP63" s="10"/>
      <c r="KNQ63" s="10"/>
      <c r="KNR63" s="10"/>
      <c r="KNS63" s="10"/>
      <c r="KNT63" s="10"/>
      <c r="KNU63" s="10"/>
      <c r="KNV63" s="10"/>
      <c r="KNW63" s="10"/>
      <c r="KNX63" s="10"/>
      <c r="KNY63" s="10"/>
      <c r="KNZ63" s="10"/>
      <c r="KOA63" s="10"/>
      <c r="KOB63" s="10"/>
      <c r="KOC63" s="10"/>
      <c r="KOD63" s="10"/>
      <c r="KOE63" s="10"/>
      <c r="KOF63" s="10"/>
      <c r="KOG63" s="10"/>
      <c r="KOH63" s="10"/>
      <c r="KOI63" s="10"/>
      <c r="KOJ63" s="10"/>
      <c r="KOK63" s="10"/>
      <c r="KOL63" s="10"/>
      <c r="KOM63" s="10"/>
      <c r="KON63" s="10"/>
      <c r="KOO63" s="10"/>
      <c r="KOP63" s="10"/>
      <c r="KOQ63" s="10"/>
      <c r="KOR63" s="10"/>
      <c r="KOS63" s="10"/>
      <c r="KOT63" s="10"/>
      <c r="KOU63" s="10"/>
      <c r="KOV63" s="10"/>
      <c r="KOW63" s="10"/>
      <c r="KOX63" s="10"/>
      <c r="KOY63" s="10"/>
      <c r="KOZ63" s="10"/>
      <c r="KPA63" s="10"/>
      <c r="KPB63" s="10"/>
      <c r="KPC63" s="10"/>
      <c r="KPD63" s="10"/>
      <c r="KPE63" s="10"/>
      <c r="KPF63" s="10"/>
      <c r="KPG63" s="10"/>
      <c r="KPH63" s="10"/>
      <c r="KPI63" s="10"/>
      <c r="KPJ63" s="10"/>
      <c r="KPK63" s="10"/>
      <c r="KPL63" s="10"/>
      <c r="KPM63" s="10"/>
      <c r="KPN63" s="10"/>
      <c r="KPO63" s="10"/>
      <c r="KPP63" s="10"/>
      <c r="KPQ63" s="10"/>
      <c r="KPR63" s="10"/>
      <c r="KPS63" s="10"/>
      <c r="KPT63" s="10"/>
      <c r="KPU63" s="10"/>
      <c r="KPV63" s="10"/>
      <c r="KPW63" s="10"/>
      <c r="KPX63" s="10"/>
      <c r="KPY63" s="10"/>
      <c r="KPZ63" s="10"/>
      <c r="KQA63" s="10"/>
      <c r="KQB63" s="10"/>
      <c r="KQC63" s="10"/>
      <c r="KQD63" s="10"/>
      <c r="KQE63" s="10"/>
      <c r="KQF63" s="10"/>
      <c r="KQG63" s="10"/>
      <c r="KQH63" s="10"/>
      <c r="KQI63" s="10"/>
      <c r="KQJ63" s="10"/>
      <c r="KQK63" s="10"/>
      <c r="KQL63" s="10"/>
      <c r="KQM63" s="10"/>
      <c r="KQN63" s="10"/>
      <c r="KQO63" s="10"/>
      <c r="KQP63" s="10"/>
      <c r="KQQ63" s="10"/>
      <c r="KQR63" s="10"/>
      <c r="KQS63" s="10"/>
      <c r="KQT63" s="10"/>
      <c r="KQU63" s="10"/>
      <c r="KQV63" s="10"/>
      <c r="KQW63" s="10"/>
      <c r="KQX63" s="10"/>
      <c r="KQY63" s="10"/>
      <c r="KQZ63" s="10"/>
      <c r="KRA63" s="10"/>
      <c r="KRB63" s="10"/>
      <c r="KRC63" s="10"/>
      <c r="KRD63" s="10"/>
      <c r="KRE63" s="10"/>
      <c r="KRF63" s="10"/>
      <c r="KRG63" s="10"/>
      <c r="KRH63" s="10"/>
      <c r="KRI63" s="10"/>
      <c r="KRJ63" s="10"/>
      <c r="KRK63" s="10"/>
      <c r="KRL63" s="10"/>
      <c r="KRM63" s="10"/>
      <c r="KRN63" s="10"/>
      <c r="KRO63" s="10"/>
      <c r="KRP63" s="10"/>
      <c r="KRQ63" s="10"/>
      <c r="KRR63" s="10"/>
      <c r="KRS63" s="10"/>
      <c r="KRT63" s="10"/>
      <c r="KRU63" s="10"/>
      <c r="KRV63" s="10"/>
      <c r="KRW63" s="10"/>
      <c r="KRX63" s="10"/>
      <c r="KRY63" s="10"/>
      <c r="KRZ63" s="10"/>
      <c r="KSA63" s="10"/>
      <c r="KSB63" s="10"/>
      <c r="KSC63" s="10"/>
      <c r="KSD63" s="10"/>
      <c r="KSE63" s="10"/>
      <c r="KSF63" s="10"/>
      <c r="KSG63" s="10"/>
      <c r="KSH63" s="10"/>
      <c r="KSI63" s="10"/>
      <c r="KSJ63" s="10"/>
      <c r="KSK63" s="10"/>
      <c r="KSL63" s="10"/>
      <c r="KSM63" s="10"/>
      <c r="KSN63" s="10"/>
      <c r="KSO63" s="10"/>
      <c r="KSP63" s="10"/>
      <c r="KSQ63" s="10"/>
      <c r="KSR63" s="10"/>
      <c r="KSS63" s="10"/>
      <c r="KST63" s="10"/>
      <c r="KSU63" s="10"/>
      <c r="KSV63" s="10"/>
      <c r="KSW63" s="10"/>
      <c r="KSX63" s="10"/>
      <c r="KSY63" s="10"/>
      <c r="KSZ63" s="10"/>
      <c r="KTA63" s="10"/>
      <c r="KTB63" s="10"/>
      <c r="KTC63" s="10"/>
      <c r="KTD63" s="10"/>
      <c r="KTE63" s="10"/>
      <c r="KTF63" s="10"/>
      <c r="KTG63" s="10"/>
      <c r="KTH63" s="10"/>
      <c r="KTI63" s="10"/>
      <c r="KTJ63" s="10"/>
      <c r="KTK63" s="10"/>
      <c r="KTL63" s="10"/>
      <c r="KTM63" s="10"/>
      <c r="KTN63" s="10"/>
      <c r="KTO63" s="10"/>
      <c r="KTP63" s="10"/>
      <c r="KTQ63" s="10"/>
      <c r="KTR63" s="10"/>
      <c r="KTS63" s="10"/>
      <c r="KTT63" s="10"/>
      <c r="KTU63" s="10"/>
      <c r="KTV63" s="10"/>
      <c r="KTW63" s="10"/>
      <c r="KTX63" s="10"/>
      <c r="KTY63" s="10"/>
      <c r="KTZ63" s="10"/>
      <c r="KUA63" s="10"/>
      <c r="KUB63" s="10"/>
      <c r="KUC63" s="10"/>
      <c r="KUD63" s="10"/>
      <c r="KUE63" s="10"/>
      <c r="KUF63" s="10"/>
      <c r="KUG63" s="10"/>
      <c r="KUH63" s="10"/>
      <c r="KUI63" s="10"/>
      <c r="KUJ63" s="10"/>
      <c r="KUK63" s="10"/>
      <c r="KUL63" s="10"/>
      <c r="KUM63" s="10"/>
      <c r="KUN63" s="10"/>
      <c r="KUO63" s="10"/>
      <c r="KUP63" s="10"/>
      <c r="KUQ63" s="10"/>
      <c r="KUR63" s="10"/>
      <c r="KUS63" s="10"/>
      <c r="KUT63" s="10"/>
      <c r="KUU63" s="10"/>
      <c r="KUV63" s="10"/>
      <c r="KUW63" s="10"/>
      <c r="KUX63" s="10"/>
      <c r="KUY63" s="10"/>
      <c r="KUZ63" s="10"/>
      <c r="KVA63" s="10"/>
      <c r="KVB63" s="10"/>
      <c r="KVC63" s="10"/>
      <c r="KVD63" s="10"/>
      <c r="KVE63" s="10"/>
      <c r="KVF63" s="10"/>
      <c r="KVG63" s="10"/>
      <c r="KVH63" s="10"/>
      <c r="KVI63" s="10"/>
      <c r="KVJ63" s="10"/>
      <c r="KVK63" s="10"/>
      <c r="KVL63" s="10"/>
      <c r="KVM63" s="10"/>
      <c r="KVN63" s="10"/>
      <c r="KVO63" s="10"/>
      <c r="KVP63" s="10"/>
      <c r="KVQ63" s="10"/>
      <c r="KVR63" s="10"/>
      <c r="KVS63" s="10"/>
      <c r="KVT63" s="10"/>
      <c r="KVU63" s="10"/>
      <c r="KVV63" s="10"/>
      <c r="KVW63" s="10"/>
      <c r="KVX63" s="10"/>
      <c r="KVY63" s="10"/>
      <c r="KVZ63" s="10"/>
      <c r="KWA63" s="10"/>
      <c r="KWB63" s="10"/>
      <c r="KWC63" s="10"/>
      <c r="KWD63" s="10"/>
      <c r="KWE63" s="10"/>
      <c r="KWF63" s="10"/>
      <c r="KWG63" s="10"/>
      <c r="KWH63" s="10"/>
      <c r="KWI63" s="10"/>
      <c r="KWJ63" s="10"/>
      <c r="KWK63" s="10"/>
      <c r="KWL63" s="10"/>
      <c r="KWM63" s="10"/>
      <c r="KWN63" s="10"/>
      <c r="KWO63" s="10"/>
      <c r="KWP63" s="10"/>
      <c r="KWQ63" s="10"/>
      <c r="KWR63" s="10"/>
      <c r="KWS63" s="10"/>
      <c r="KWT63" s="10"/>
      <c r="KWU63" s="10"/>
      <c r="KWV63" s="10"/>
      <c r="KWW63" s="10"/>
      <c r="KWX63" s="10"/>
      <c r="KWY63" s="10"/>
      <c r="KWZ63" s="10"/>
      <c r="KXA63" s="10"/>
      <c r="KXB63" s="10"/>
      <c r="KXC63" s="10"/>
      <c r="KXD63" s="10"/>
      <c r="KXE63" s="10"/>
      <c r="KXF63" s="10"/>
      <c r="KXG63" s="10"/>
      <c r="KXH63" s="10"/>
      <c r="KXI63" s="10"/>
      <c r="KXJ63" s="10"/>
      <c r="KXK63" s="10"/>
      <c r="KXL63" s="10"/>
      <c r="KXM63" s="10"/>
      <c r="KXN63" s="10"/>
      <c r="KXO63" s="10"/>
      <c r="KXP63" s="10"/>
      <c r="KXQ63" s="10"/>
      <c r="KXR63" s="10"/>
      <c r="KXS63" s="10"/>
      <c r="KXT63" s="10"/>
      <c r="KXU63" s="10"/>
      <c r="KXV63" s="10"/>
      <c r="KXW63" s="10"/>
      <c r="KXX63" s="10"/>
      <c r="KXY63" s="10"/>
      <c r="KXZ63" s="10"/>
      <c r="KYA63" s="10"/>
      <c r="KYB63" s="10"/>
      <c r="KYC63" s="10"/>
      <c r="KYD63" s="10"/>
      <c r="KYE63" s="10"/>
      <c r="KYF63" s="10"/>
      <c r="KYG63" s="10"/>
      <c r="KYH63" s="10"/>
      <c r="KYI63" s="10"/>
      <c r="KYJ63" s="10"/>
      <c r="KYK63" s="10"/>
      <c r="KYL63" s="10"/>
      <c r="KYM63" s="10"/>
      <c r="KYN63" s="10"/>
      <c r="KYO63" s="10"/>
      <c r="KYP63" s="10"/>
      <c r="KYQ63" s="10"/>
      <c r="KYR63" s="10"/>
      <c r="KYS63" s="10"/>
      <c r="KYT63" s="10"/>
      <c r="KYU63" s="10"/>
      <c r="KYV63" s="10"/>
      <c r="KYW63" s="10"/>
      <c r="KYX63" s="10"/>
      <c r="KYY63" s="10"/>
      <c r="KYZ63" s="10"/>
      <c r="KZA63" s="10"/>
      <c r="KZB63" s="10"/>
      <c r="KZC63" s="10"/>
      <c r="KZD63" s="10"/>
      <c r="KZE63" s="10"/>
      <c r="KZF63" s="10"/>
      <c r="KZG63" s="10"/>
      <c r="KZH63" s="10"/>
      <c r="KZI63" s="10"/>
      <c r="KZJ63" s="10"/>
      <c r="KZK63" s="10"/>
      <c r="KZL63" s="10"/>
      <c r="KZM63" s="10"/>
      <c r="KZN63" s="10"/>
      <c r="KZO63" s="10"/>
      <c r="KZP63" s="10"/>
      <c r="KZQ63" s="10"/>
      <c r="KZR63" s="10"/>
      <c r="KZS63" s="10"/>
      <c r="KZT63" s="10"/>
      <c r="KZU63" s="10"/>
      <c r="KZV63" s="10"/>
      <c r="KZW63" s="10"/>
      <c r="KZX63" s="10"/>
      <c r="KZY63" s="10"/>
      <c r="KZZ63" s="10"/>
      <c r="LAA63" s="10"/>
      <c r="LAB63" s="10"/>
      <c r="LAC63" s="10"/>
      <c r="LAD63" s="10"/>
      <c r="LAE63" s="10"/>
      <c r="LAF63" s="10"/>
      <c r="LAG63" s="10"/>
      <c r="LAH63" s="10"/>
      <c r="LAI63" s="10"/>
      <c r="LAJ63" s="10"/>
      <c r="LAK63" s="10"/>
      <c r="LAL63" s="10"/>
      <c r="LAM63" s="10"/>
      <c r="LAN63" s="10"/>
      <c r="LAO63" s="10"/>
      <c r="LAP63" s="10"/>
      <c r="LAQ63" s="10"/>
      <c r="LAR63" s="10"/>
      <c r="LAS63" s="10"/>
      <c r="LAT63" s="10"/>
      <c r="LAU63" s="10"/>
      <c r="LAV63" s="10"/>
      <c r="LAW63" s="10"/>
      <c r="LAX63" s="10"/>
      <c r="LAY63" s="10"/>
      <c r="LAZ63" s="10"/>
      <c r="LBA63" s="10"/>
      <c r="LBB63" s="10"/>
      <c r="LBC63" s="10"/>
      <c r="LBD63" s="10"/>
      <c r="LBE63" s="10"/>
      <c r="LBF63" s="10"/>
      <c r="LBG63" s="10"/>
      <c r="LBH63" s="10"/>
      <c r="LBI63" s="10"/>
      <c r="LBJ63" s="10"/>
      <c r="LBK63" s="10"/>
      <c r="LBL63" s="10"/>
      <c r="LBM63" s="10"/>
      <c r="LBN63" s="10"/>
      <c r="LBO63" s="10"/>
      <c r="LBP63" s="10"/>
      <c r="LBQ63" s="10"/>
      <c r="LBR63" s="10"/>
      <c r="LBS63" s="10"/>
      <c r="LBT63" s="10"/>
      <c r="LBU63" s="10"/>
      <c r="LBV63" s="10"/>
      <c r="LBW63" s="10"/>
      <c r="LBX63" s="10"/>
      <c r="LBY63" s="10"/>
      <c r="LBZ63" s="10"/>
      <c r="LCA63" s="10"/>
      <c r="LCB63" s="10"/>
      <c r="LCC63" s="10"/>
      <c r="LCD63" s="10"/>
      <c r="LCE63" s="10"/>
      <c r="LCF63" s="10"/>
      <c r="LCG63" s="10"/>
      <c r="LCH63" s="10"/>
      <c r="LCI63" s="10"/>
      <c r="LCJ63" s="10"/>
      <c r="LCK63" s="10"/>
      <c r="LCL63" s="10"/>
      <c r="LCM63" s="10"/>
      <c r="LCN63" s="10"/>
      <c r="LCO63" s="10"/>
      <c r="LCP63" s="10"/>
      <c r="LCQ63" s="10"/>
      <c r="LCR63" s="10"/>
      <c r="LCS63" s="10"/>
      <c r="LCT63" s="10"/>
      <c r="LCU63" s="10"/>
      <c r="LCV63" s="10"/>
      <c r="LCW63" s="10"/>
      <c r="LCX63" s="10"/>
      <c r="LCY63" s="10"/>
      <c r="LCZ63" s="10"/>
      <c r="LDA63" s="10"/>
      <c r="LDB63" s="10"/>
      <c r="LDC63" s="10"/>
      <c r="LDD63" s="10"/>
      <c r="LDE63" s="10"/>
      <c r="LDF63" s="10"/>
      <c r="LDG63" s="10"/>
      <c r="LDH63" s="10"/>
      <c r="LDI63" s="10"/>
      <c r="LDJ63" s="10"/>
      <c r="LDK63" s="10"/>
      <c r="LDL63" s="10"/>
      <c r="LDM63" s="10"/>
      <c r="LDN63" s="10"/>
      <c r="LDO63" s="10"/>
      <c r="LDP63" s="10"/>
      <c r="LDQ63" s="10"/>
      <c r="LDR63" s="10"/>
      <c r="LDS63" s="10"/>
      <c r="LDT63" s="10"/>
      <c r="LDU63" s="10"/>
      <c r="LDV63" s="10"/>
      <c r="LDW63" s="10"/>
      <c r="LDX63" s="10"/>
      <c r="LDY63" s="10"/>
      <c r="LDZ63" s="10"/>
      <c r="LEA63" s="10"/>
      <c r="LEB63" s="10"/>
      <c r="LEC63" s="10"/>
      <c r="LED63" s="10"/>
      <c r="LEE63" s="10"/>
      <c r="LEF63" s="10"/>
      <c r="LEG63" s="10"/>
      <c r="LEH63" s="10"/>
      <c r="LEI63" s="10"/>
      <c r="LEJ63" s="10"/>
      <c r="LEK63" s="10"/>
      <c r="LEL63" s="10"/>
      <c r="LEM63" s="10"/>
      <c r="LEN63" s="10"/>
      <c r="LEO63" s="10"/>
      <c r="LEP63" s="10"/>
      <c r="LEQ63" s="10"/>
      <c r="LER63" s="10"/>
      <c r="LES63" s="10"/>
      <c r="LET63" s="10"/>
      <c r="LEU63" s="10"/>
      <c r="LEV63" s="10"/>
      <c r="LEW63" s="10"/>
      <c r="LEX63" s="10"/>
      <c r="LEY63" s="10"/>
      <c r="LEZ63" s="10"/>
      <c r="LFA63" s="10"/>
      <c r="LFB63" s="10"/>
      <c r="LFC63" s="10"/>
      <c r="LFD63" s="10"/>
      <c r="LFE63" s="10"/>
      <c r="LFF63" s="10"/>
      <c r="LFG63" s="10"/>
      <c r="LFH63" s="10"/>
      <c r="LFI63" s="10"/>
      <c r="LFJ63" s="10"/>
      <c r="LFK63" s="10"/>
      <c r="LFL63" s="10"/>
      <c r="LFM63" s="10"/>
      <c r="LFN63" s="10"/>
      <c r="LFO63" s="10"/>
      <c r="LFP63" s="10"/>
      <c r="LFQ63" s="10"/>
      <c r="LFR63" s="10"/>
      <c r="LFS63" s="10"/>
      <c r="LFT63" s="10"/>
      <c r="LFU63" s="10"/>
      <c r="LFV63" s="10"/>
      <c r="LFW63" s="10"/>
      <c r="LFX63" s="10"/>
      <c r="LFY63" s="10"/>
      <c r="LFZ63" s="10"/>
      <c r="LGA63" s="10"/>
      <c r="LGB63" s="10"/>
      <c r="LGC63" s="10"/>
      <c r="LGD63" s="10"/>
      <c r="LGE63" s="10"/>
      <c r="LGF63" s="10"/>
      <c r="LGG63" s="10"/>
      <c r="LGH63" s="10"/>
      <c r="LGI63" s="10"/>
      <c r="LGJ63" s="10"/>
      <c r="LGK63" s="10"/>
      <c r="LGL63" s="10"/>
      <c r="LGM63" s="10"/>
      <c r="LGN63" s="10"/>
      <c r="LGO63" s="10"/>
      <c r="LGP63" s="10"/>
      <c r="LGQ63" s="10"/>
      <c r="LGR63" s="10"/>
      <c r="LGS63" s="10"/>
      <c r="LGT63" s="10"/>
      <c r="LGU63" s="10"/>
      <c r="LGV63" s="10"/>
      <c r="LGW63" s="10"/>
      <c r="LGX63" s="10"/>
      <c r="LGY63" s="10"/>
      <c r="LGZ63" s="10"/>
      <c r="LHA63" s="10"/>
      <c r="LHB63" s="10"/>
      <c r="LHC63" s="10"/>
      <c r="LHD63" s="10"/>
      <c r="LHE63" s="10"/>
      <c r="LHF63" s="10"/>
      <c r="LHG63" s="10"/>
      <c r="LHH63" s="10"/>
      <c r="LHI63" s="10"/>
      <c r="LHJ63" s="10"/>
      <c r="LHK63" s="10"/>
      <c r="LHL63" s="10"/>
      <c r="LHM63" s="10"/>
      <c r="LHN63" s="10"/>
      <c r="LHO63" s="10"/>
      <c r="LHP63" s="10"/>
      <c r="LHQ63" s="10"/>
      <c r="LHR63" s="10"/>
      <c r="LHS63" s="10"/>
      <c r="LHT63" s="10"/>
      <c r="LHU63" s="10"/>
      <c r="LHV63" s="10"/>
      <c r="LHW63" s="10"/>
      <c r="LHX63" s="10"/>
      <c r="LHY63" s="10"/>
      <c r="LHZ63" s="10"/>
      <c r="LIA63" s="10"/>
      <c r="LIB63" s="10"/>
      <c r="LIC63" s="10"/>
      <c r="LID63" s="10"/>
      <c r="LIE63" s="10"/>
      <c r="LIF63" s="10"/>
      <c r="LIG63" s="10"/>
      <c r="LIH63" s="10"/>
      <c r="LII63" s="10"/>
      <c r="LIJ63" s="10"/>
      <c r="LIK63" s="10"/>
      <c r="LIL63" s="10"/>
      <c r="LIM63" s="10"/>
      <c r="LIN63" s="10"/>
      <c r="LIO63" s="10"/>
      <c r="LIP63" s="10"/>
      <c r="LIQ63" s="10"/>
      <c r="LIR63" s="10"/>
      <c r="LIS63" s="10"/>
      <c r="LIT63" s="10"/>
      <c r="LIU63" s="10"/>
      <c r="LIV63" s="10"/>
      <c r="LIW63" s="10"/>
      <c r="LIX63" s="10"/>
      <c r="LIY63" s="10"/>
      <c r="LIZ63" s="10"/>
      <c r="LJA63" s="10"/>
      <c r="LJB63" s="10"/>
      <c r="LJC63" s="10"/>
      <c r="LJD63" s="10"/>
      <c r="LJE63" s="10"/>
      <c r="LJF63" s="10"/>
      <c r="LJG63" s="10"/>
      <c r="LJH63" s="10"/>
      <c r="LJI63" s="10"/>
      <c r="LJJ63" s="10"/>
      <c r="LJK63" s="10"/>
      <c r="LJL63" s="10"/>
      <c r="LJM63" s="10"/>
      <c r="LJN63" s="10"/>
      <c r="LJO63" s="10"/>
      <c r="LJP63" s="10"/>
      <c r="LJQ63" s="10"/>
      <c r="LJR63" s="10"/>
      <c r="LJS63" s="10"/>
      <c r="LJT63" s="10"/>
      <c r="LJU63" s="10"/>
      <c r="LJV63" s="10"/>
      <c r="LJW63" s="10"/>
      <c r="LJX63" s="10"/>
      <c r="LJY63" s="10"/>
      <c r="LJZ63" s="10"/>
      <c r="LKA63" s="10"/>
      <c r="LKB63" s="10"/>
      <c r="LKC63" s="10"/>
      <c r="LKD63" s="10"/>
      <c r="LKE63" s="10"/>
      <c r="LKF63" s="10"/>
      <c r="LKG63" s="10"/>
      <c r="LKH63" s="10"/>
      <c r="LKI63" s="10"/>
      <c r="LKJ63" s="10"/>
      <c r="LKK63" s="10"/>
      <c r="LKL63" s="10"/>
      <c r="LKM63" s="10"/>
      <c r="LKN63" s="10"/>
      <c r="LKO63" s="10"/>
      <c r="LKP63" s="10"/>
      <c r="LKQ63" s="10"/>
      <c r="LKR63" s="10"/>
      <c r="LKS63" s="10"/>
      <c r="LKT63" s="10"/>
      <c r="LKU63" s="10"/>
      <c r="LKV63" s="10"/>
      <c r="LKW63" s="10"/>
      <c r="LKX63" s="10"/>
      <c r="LKY63" s="10"/>
      <c r="LKZ63" s="10"/>
      <c r="LLA63" s="10"/>
      <c r="LLB63" s="10"/>
      <c r="LLC63" s="10"/>
      <c r="LLD63" s="10"/>
      <c r="LLE63" s="10"/>
      <c r="LLF63" s="10"/>
      <c r="LLG63" s="10"/>
      <c r="LLH63" s="10"/>
      <c r="LLI63" s="10"/>
      <c r="LLJ63" s="10"/>
      <c r="LLK63" s="10"/>
      <c r="LLL63" s="10"/>
      <c r="LLM63" s="10"/>
      <c r="LLN63" s="10"/>
      <c r="LLO63" s="10"/>
      <c r="LLP63" s="10"/>
      <c r="LLQ63" s="10"/>
      <c r="LLR63" s="10"/>
      <c r="LLS63" s="10"/>
      <c r="LLT63" s="10"/>
      <c r="LLU63" s="10"/>
      <c r="LLV63" s="10"/>
      <c r="LLW63" s="10"/>
      <c r="LLX63" s="10"/>
      <c r="LLY63" s="10"/>
      <c r="LLZ63" s="10"/>
      <c r="LMA63" s="10"/>
      <c r="LMB63" s="10"/>
      <c r="LMC63" s="10"/>
      <c r="LMD63" s="10"/>
      <c r="LME63" s="10"/>
      <c r="LMF63" s="10"/>
      <c r="LMG63" s="10"/>
      <c r="LMH63" s="10"/>
      <c r="LMI63" s="10"/>
      <c r="LMJ63" s="10"/>
      <c r="LMK63" s="10"/>
      <c r="LML63" s="10"/>
      <c r="LMM63" s="10"/>
      <c r="LMN63" s="10"/>
      <c r="LMO63" s="10"/>
      <c r="LMP63" s="10"/>
      <c r="LMQ63" s="10"/>
      <c r="LMR63" s="10"/>
      <c r="LMS63" s="10"/>
      <c r="LMT63" s="10"/>
      <c r="LMU63" s="10"/>
      <c r="LMV63" s="10"/>
      <c r="LMW63" s="10"/>
      <c r="LMX63" s="10"/>
      <c r="LMY63" s="10"/>
      <c r="LMZ63" s="10"/>
      <c r="LNA63" s="10"/>
      <c r="LNB63" s="10"/>
      <c r="LNC63" s="10"/>
      <c r="LND63" s="10"/>
      <c r="LNE63" s="10"/>
      <c r="LNF63" s="10"/>
      <c r="LNG63" s="10"/>
      <c r="LNH63" s="10"/>
      <c r="LNI63" s="10"/>
      <c r="LNJ63" s="10"/>
      <c r="LNK63" s="10"/>
      <c r="LNL63" s="10"/>
      <c r="LNM63" s="10"/>
      <c r="LNN63" s="10"/>
      <c r="LNO63" s="10"/>
      <c r="LNP63" s="10"/>
      <c r="LNQ63" s="10"/>
      <c r="LNR63" s="10"/>
      <c r="LNS63" s="10"/>
      <c r="LNT63" s="10"/>
      <c r="LNU63" s="10"/>
      <c r="LNV63" s="10"/>
      <c r="LNW63" s="10"/>
      <c r="LNX63" s="10"/>
      <c r="LNY63" s="10"/>
      <c r="LNZ63" s="10"/>
      <c r="LOA63" s="10"/>
      <c r="LOB63" s="10"/>
      <c r="LOC63" s="10"/>
      <c r="LOD63" s="10"/>
      <c r="LOE63" s="10"/>
      <c r="LOF63" s="10"/>
      <c r="LOG63" s="10"/>
      <c r="LOH63" s="10"/>
      <c r="LOI63" s="10"/>
      <c r="LOJ63" s="10"/>
      <c r="LOK63" s="10"/>
      <c r="LOL63" s="10"/>
      <c r="LOM63" s="10"/>
      <c r="LON63" s="10"/>
      <c r="LOO63" s="10"/>
      <c r="LOP63" s="10"/>
      <c r="LOQ63" s="10"/>
      <c r="LOR63" s="10"/>
      <c r="LOS63" s="10"/>
      <c r="LOT63" s="10"/>
      <c r="LOU63" s="10"/>
      <c r="LOV63" s="10"/>
      <c r="LOW63" s="10"/>
      <c r="LOX63" s="10"/>
      <c r="LOY63" s="10"/>
      <c r="LOZ63" s="10"/>
      <c r="LPA63" s="10"/>
      <c r="LPB63" s="10"/>
      <c r="LPC63" s="10"/>
      <c r="LPD63" s="10"/>
      <c r="LPE63" s="10"/>
      <c r="LPF63" s="10"/>
      <c r="LPG63" s="10"/>
      <c r="LPH63" s="10"/>
      <c r="LPI63" s="10"/>
      <c r="LPJ63" s="10"/>
      <c r="LPK63" s="10"/>
      <c r="LPL63" s="10"/>
      <c r="LPM63" s="10"/>
      <c r="LPN63" s="10"/>
      <c r="LPO63" s="10"/>
      <c r="LPP63" s="10"/>
      <c r="LPQ63" s="10"/>
      <c r="LPR63" s="10"/>
      <c r="LPS63" s="10"/>
      <c r="LPT63" s="10"/>
      <c r="LPU63" s="10"/>
      <c r="LPV63" s="10"/>
      <c r="LPW63" s="10"/>
      <c r="LPX63" s="10"/>
      <c r="LPY63" s="10"/>
      <c r="LPZ63" s="10"/>
      <c r="LQA63" s="10"/>
      <c r="LQB63" s="10"/>
      <c r="LQC63" s="10"/>
      <c r="LQD63" s="10"/>
      <c r="LQE63" s="10"/>
      <c r="LQF63" s="10"/>
      <c r="LQG63" s="10"/>
      <c r="LQH63" s="10"/>
      <c r="LQI63" s="10"/>
      <c r="LQJ63" s="10"/>
      <c r="LQK63" s="10"/>
      <c r="LQL63" s="10"/>
      <c r="LQM63" s="10"/>
      <c r="LQN63" s="10"/>
      <c r="LQO63" s="10"/>
      <c r="LQP63" s="10"/>
      <c r="LQQ63" s="10"/>
      <c r="LQR63" s="10"/>
      <c r="LQS63" s="10"/>
      <c r="LQT63" s="10"/>
      <c r="LQU63" s="10"/>
      <c r="LQV63" s="10"/>
      <c r="LQW63" s="10"/>
      <c r="LQX63" s="10"/>
      <c r="LQY63" s="10"/>
      <c r="LQZ63" s="10"/>
      <c r="LRA63" s="10"/>
      <c r="LRB63" s="10"/>
      <c r="LRC63" s="10"/>
      <c r="LRD63" s="10"/>
      <c r="LRE63" s="10"/>
      <c r="LRF63" s="10"/>
      <c r="LRG63" s="10"/>
      <c r="LRH63" s="10"/>
      <c r="LRI63" s="10"/>
      <c r="LRJ63" s="10"/>
      <c r="LRK63" s="10"/>
      <c r="LRL63" s="10"/>
      <c r="LRM63" s="10"/>
      <c r="LRN63" s="10"/>
      <c r="LRO63" s="10"/>
      <c r="LRP63" s="10"/>
      <c r="LRQ63" s="10"/>
      <c r="LRR63" s="10"/>
      <c r="LRS63" s="10"/>
      <c r="LRT63" s="10"/>
      <c r="LRU63" s="10"/>
      <c r="LRV63" s="10"/>
      <c r="LRW63" s="10"/>
      <c r="LRX63" s="10"/>
      <c r="LRY63" s="10"/>
      <c r="LRZ63" s="10"/>
      <c r="LSA63" s="10"/>
      <c r="LSB63" s="10"/>
      <c r="LSC63" s="10"/>
      <c r="LSD63" s="10"/>
      <c r="LSE63" s="10"/>
      <c r="LSF63" s="10"/>
      <c r="LSG63" s="10"/>
      <c r="LSH63" s="10"/>
      <c r="LSI63" s="10"/>
      <c r="LSJ63" s="10"/>
      <c r="LSK63" s="10"/>
      <c r="LSL63" s="10"/>
      <c r="LSM63" s="10"/>
      <c r="LSN63" s="10"/>
      <c r="LSO63" s="10"/>
      <c r="LSP63" s="10"/>
      <c r="LSQ63" s="10"/>
      <c r="LSR63" s="10"/>
      <c r="LSS63" s="10"/>
      <c r="LST63" s="10"/>
      <c r="LSU63" s="10"/>
      <c r="LSV63" s="10"/>
      <c r="LSW63" s="10"/>
      <c r="LSX63" s="10"/>
      <c r="LSY63" s="10"/>
      <c r="LSZ63" s="10"/>
      <c r="LTA63" s="10"/>
      <c r="LTB63" s="10"/>
      <c r="LTC63" s="10"/>
      <c r="LTD63" s="10"/>
      <c r="LTE63" s="10"/>
      <c r="LTF63" s="10"/>
      <c r="LTG63" s="10"/>
      <c r="LTH63" s="10"/>
      <c r="LTI63" s="10"/>
      <c r="LTJ63" s="10"/>
      <c r="LTK63" s="10"/>
      <c r="LTL63" s="10"/>
      <c r="LTM63" s="10"/>
      <c r="LTN63" s="10"/>
      <c r="LTO63" s="10"/>
      <c r="LTP63" s="10"/>
      <c r="LTQ63" s="10"/>
      <c r="LTR63" s="10"/>
      <c r="LTS63" s="10"/>
      <c r="LTT63" s="10"/>
      <c r="LTU63" s="10"/>
      <c r="LTV63" s="10"/>
      <c r="LTW63" s="10"/>
      <c r="LTX63" s="10"/>
      <c r="LTY63" s="10"/>
      <c r="LTZ63" s="10"/>
      <c r="LUA63" s="10"/>
      <c r="LUB63" s="10"/>
      <c r="LUC63" s="10"/>
      <c r="LUD63" s="10"/>
      <c r="LUE63" s="10"/>
      <c r="LUF63" s="10"/>
      <c r="LUG63" s="10"/>
      <c r="LUH63" s="10"/>
      <c r="LUI63" s="10"/>
      <c r="LUJ63" s="10"/>
      <c r="LUK63" s="10"/>
      <c r="LUL63" s="10"/>
      <c r="LUM63" s="10"/>
      <c r="LUN63" s="10"/>
      <c r="LUO63" s="10"/>
      <c r="LUP63" s="10"/>
      <c r="LUQ63" s="10"/>
      <c r="LUR63" s="10"/>
      <c r="LUS63" s="10"/>
      <c r="LUT63" s="10"/>
      <c r="LUU63" s="10"/>
      <c r="LUV63" s="10"/>
      <c r="LUW63" s="10"/>
      <c r="LUX63" s="10"/>
      <c r="LUY63" s="10"/>
      <c r="LUZ63" s="10"/>
      <c r="LVA63" s="10"/>
      <c r="LVB63" s="10"/>
      <c r="LVC63" s="10"/>
      <c r="LVD63" s="10"/>
      <c r="LVE63" s="10"/>
      <c r="LVF63" s="10"/>
      <c r="LVG63" s="10"/>
      <c r="LVH63" s="10"/>
      <c r="LVI63" s="10"/>
      <c r="LVJ63" s="10"/>
      <c r="LVK63" s="10"/>
      <c r="LVL63" s="10"/>
      <c r="LVM63" s="10"/>
      <c r="LVN63" s="10"/>
      <c r="LVO63" s="10"/>
      <c r="LVP63" s="10"/>
      <c r="LVQ63" s="10"/>
      <c r="LVR63" s="10"/>
      <c r="LVS63" s="10"/>
      <c r="LVT63" s="10"/>
      <c r="LVU63" s="10"/>
      <c r="LVV63" s="10"/>
      <c r="LVW63" s="10"/>
      <c r="LVX63" s="10"/>
      <c r="LVY63" s="10"/>
      <c r="LVZ63" s="10"/>
      <c r="LWA63" s="10"/>
      <c r="LWB63" s="10"/>
      <c r="LWC63" s="10"/>
      <c r="LWD63" s="10"/>
      <c r="LWE63" s="10"/>
      <c r="LWF63" s="10"/>
      <c r="LWG63" s="10"/>
      <c r="LWH63" s="10"/>
      <c r="LWI63" s="10"/>
      <c r="LWJ63" s="10"/>
      <c r="LWK63" s="10"/>
      <c r="LWL63" s="10"/>
      <c r="LWM63" s="10"/>
      <c r="LWN63" s="10"/>
      <c r="LWO63" s="10"/>
      <c r="LWP63" s="10"/>
      <c r="LWQ63" s="10"/>
      <c r="LWR63" s="10"/>
      <c r="LWS63" s="10"/>
      <c r="LWT63" s="10"/>
      <c r="LWU63" s="10"/>
      <c r="LWV63" s="10"/>
      <c r="LWW63" s="10"/>
      <c r="LWX63" s="10"/>
      <c r="LWY63" s="10"/>
      <c r="LWZ63" s="10"/>
      <c r="LXA63" s="10"/>
      <c r="LXB63" s="10"/>
      <c r="LXC63" s="10"/>
      <c r="LXD63" s="10"/>
      <c r="LXE63" s="10"/>
      <c r="LXF63" s="10"/>
      <c r="LXG63" s="10"/>
      <c r="LXH63" s="10"/>
      <c r="LXI63" s="10"/>
      <c r="LXJ63" s="10"/>
      <c r="LXK63" s="10"/>
      <c r="LXL63" s="10"/>
      <c r="LXM63" s="10"/>
      <c r="LXN63" s="10"/>
      <c r="LXO63" s="10"/>
      <c r="LXP63" s="10"/>
      <c r="LXQ63" s="10"/>
      <c r="LXR63" s="10"/>
      <c r="LXS63" s="10"/>
      <c r="LXT63" s="10"/>
      <c r="LXU63" s="10"/>
      <c r="LXV63" s="10"/>
      <c r="LXW63" s="10"/>
      <c r="LXX63" s="10"/>
      <c r="LXY63" s="10"/>
      <c r="LXZ63" s="10"/>
      <c r="LYA63" s="10"/>
      <c r="LYB63" s="10"/>
      <c r="LYC63" s="10"/>
      <c r="LYD63" s="10"/>
      <c r="LYE63" s="10"/>
      <c r="LYF63" s="10"/>
      <c r="LYG63" s="10"/>
      <c r="LYH63" s="10"/>
      <c r="LYI63" s="10"/>
      <c r="LYJ63" s="10"/>
      <c r="LYK63" s="10"/>
      <c r="LYL63" s="10"/>
      <c r="LYM63" s="10"/>
      <c r="LYN63" s="10"/>
      <c r="LYO63" s="10"/>
      <c r="LYP63" s="10"/>
      <c r="LYQ63" s="10"/>
      <c r="LYR63" s="10"/>
      <c r="LYS63" s="10"/>
      <c r="LYT63" s="10"/>
      <c r="LYU63" s="10"/>
      <c r="LYV63" s="10"/>
      <c r="LYW63" s="10"/>
      <c r="LYX63" s="10"/>
      <c r="LYY63" s="10"/>
      <c r="LYZ63" s="10"/>
      <c r="LZA63" s="10"/>
      <c r="LZB63" s="10"/>
      <c r="LZC63" s="10"/>
      <c r="LZD63" s="10"/>
      <c r="LZE63" s="10"/>
      <c r="LZF63" s="10"/>
      <c r="LZG63" s="10"/>
      <c r="LZH63" s="10"/>
      <c r="LZI63" s="10"/>
      <c r="LZJ63" s="10"/>
      <c r="LZK63" s="10"/>
      <c r="LZL63" s="10"/>
      <c r="LZM63" s="10"/>
      <c r="LZN63" s="10"/>
      <c r="LZO63" s="10"/>
      <c r="LZP63" s="10"/>
      <c r="LZQ63" s="10"/>
      <c r="LZR63" s="10"/>
      <c r="LZS63" s="10"/>
      <c r="LZT63" s="10"/>
      <c r="LZU63" s="10"/>
      <c r="LZV63" s="10"/>
      <c r="LZW63" s="10"/>
      <c r="LZX63" s="10"/>
      <c r="LZY63" s="10"/>
      <c r="LZZ63" s="10"/>
      <c r="MAA63" s="10"/>
      <c r="MAB63" s="10"/>
      <c r="MAC63" s="10"/>
      <c r="MAD63" s="10"/>
      <c r="MAE63" s="10"/>
      <c r="MAF63" s="10"/>
      <c r="MAG63" s="10"/>
      <c r="MAH63" s="10"/>
      <c r="MAI63" s="10"/>
      <c r="MAJ63" s="10"/>
      <c r="MAK63" s="10"/>
      <c r="MAL63" s="10"/>
      <c r="MAM63" s="10"/>
      <c r="MAN63" s="10"/>
      <c r="MAO63" s="10"/>
      <c r="MAP63" s="10"/>
      <c r="MAQ63" s="10"/>
      <c r="MAR63" s="10"/>
      <c r="MAS63" s="10"/>
      <c r="MAT63" s="10"/>
      <c r="MAU63" s="10"/>
      <c r="MAV63" s="10"/>
      <c r="MAW63" s="10"/>
      <c r="MAX63" s="10"/>
      <c r="MAY63" s="10"/>
      <c r="MAZ63" s="10"/>
      <c r="MBA63" s="10"/>
      <c r="MBB63" s="10"/>
      <c r="MBC63" s="10"/>
      <c r="MBD63" s="10"/>
      <c r="MBE63" s="10"/>
      <c r="MBF63" s="10"/>
      <c r="MBG63" s="10"/>
      <c r="MBH63" s="10"/>
      <c r="MBI63" s="10"/>
      <c r="MBJ63" s="10"/>
      <c r="MBK63" s="10"/>
      <c r="MBL63" s="10"/>
      <c r="MBM63" s="10"/>
      <c r="MBN63" s="10"/>
      <c r="MBO63" s="10"/>
      <c r="MBP63" s="10"/>
      <c r="MBQ63" s="10"/>
      <c r="MBR63" s="10"/>
      <c r="MBS63" s="10"/>
      <c r="MBT63" s="10"/>
      <c r="MBU63" s="10"/>
      <c r="MBV63" s="10"/>
      <c r="MBW63" s="10"/>
      <c r="MBX63" s="10"/>
      <c r="MBY63" s="10"/>
      <c r="MBZ63" s="10"/>
      <c r="MCA63" s="10"/>
      <c r="MCB63" s="10"/>
      <c r="MCC63" s="10"/>
      <c r="MCD63" s="10"/>
      <c r="MCE63" s="10"/>
      <c r="MCF63" s="10"/>
      <c r="MCG63" s="10"/>
      <c r="MCH63" s="10"/>
      <c r="MCI63" s="10"/>
      <c r="MCJ63" s="10"/>
      <c r="MCK63" s="10"/>
      <c r="MCL63" s="10"/>
      <c r="MCM63" s="10"/>
      <c r="MCN63" s="10"/>
      <c r="MCO63" s="10"/>
      <c r="MCP63" s="10"/>
      <c r="MCQ63" s="10"/>
      <c r="MCR63" s="10"/>
      <c r="MCS63" s="10"/>
      <c r="MCT63" s="10"/>
      <c r="MCU63" s="10"/>
      <c r="MCV63" s="10"/>
      <c r="MCW63" s="10"/>
      <c r="MCX63" s="10"/>
      <c r="MCY63" s="10"/>
      <c r="MCZ63" s="10"/>
      <c r="MDA63" s="10"/>
      <c r="MDB63" s="10"/>
      <c r="MDC63" s="10"/>
      <c r="MDD63" s="10"/>
      <c r="MDE63" s="10"/>
      <c r="MDF63" s="10"/>
      <c r="MDG63" s="10"/>
      <c r="MDH63" s="10"/>
      <c r="MDI63" s="10"/>
      <c r="MDJ63" s="10"/>
      <c r="MDK63" s="10"/>
      <c r="MDL63" s="10"/>
      <c r="MDM63" s="10"/>
      <c r="MDN63" s="10"/>
      <c r="MDO63" s="10"/>
      <c r="MDP63" s="10"/>
      <c r="MDQ63" s="10"/>
      <c r="MDR63" s="10"/>
      <c r="MDS63" s="10"/>
      <c r="MDT63" s="10"/>
      <c r="MDU63" s="10"/>
      <c r="MDV63" s="10"/>
      <c r="MDW63" s="10"/>
      <c r="MDX63" s="10"/>
      <c r="MDY63" s="10"/>
      <c r="MDZ63" s="10"/>
      <c r="MEA63" s="10"/>
      <c r="MEB63" s="10"/>
      <c r="MEC63" s="10"/>
      <c r="MED63" s="10"/>
      <c r="MEE63" s="10"/>
      <c r="MEF63" s="10"/>
      <c r="MEG63" s="10"/>
      <c r="MEH63" s="10"/>
      <c r="MEI63" s="10"/>
      <c r="MEJ63" s="10"/>
      <c r="MEK63" s="10"/>
      <c r="MEL63" s="10"/>
      <c r="MEM63" s="10"/>
      <c r="MEN63" s="10"/>
      <c r="MEO63" s="10"/>
      <c r="MEP63" s="10"/>
      <c r="MEQ63" s="10"/>
      <c r="MER63" s="10"/>
      <c r="MES63" s="10"/>
      <c r="MET63" s="10"/>
      <c r="MEU63" s="10"/>
      <c r="MEV63" s="10"/>
      <c r="MEW63" s="10"/>
      <c r="MEX63" s="10"/>
      <c r="MEY63" s="10"/>
      <c r="MEZ63" s="10"/>
      <c r="MFA63" s="10"/>
      <c r="MFB63" s="10"/>
      <c r="MFC63" s="10"/>
      <c r="MFD63" s="10"/>
      <c r="MFE63" s="10"/>
      <c r="MFF63" s="10"/>
      <c r="MFG63" s="10"/>
      <c r="MFH63" s="10"/>
      <c r="MFI63" s="10"/>
      <c r="MFJ63" s="10"/>
      <c r="MFK63" s="10"/>
      <c r="MFL63" s="10"/>
      <c r="MFM63" s="10"/>
      <c r="MFN63" s="10"/>
      <c r="MFO63" s="10"/>
      <c r="MFP63" s="10"/>
      <c r="MFQ63" s="10"/>
      <c r="MFR63" s="10"/>
      <c r="MFS63" s="10"/>
      <c r="MFT63" s="10"/>
      <c r="MFU63" s="10"/>
      <c r="MFV63" s="10"/>
      <c r="MFW63" s="10"/>
      <c r="MFX63" s="10"/>
      <c r="MFY63" s="10"/>
      <c r="MFZ63" s="10"/>
      <c r="MGA63" s="10"/>
      <c r="MGB63" s="10"/>
      <c r="MGC63" s="10"/>
      <c r="MGD63" s="10"/>
      <c r="MGE63" s="10"/>
      <c r="MGF63" s="10"/>
      <c r="MGG63" s="10"/>
      <c r="MGH63" s="10"/>
      <c r="MGI63" s="10"/>
      <c r="MGJ63" s="10"/>
      <c r="MGK63" s="10"/>
      <c r="MGL63" s="10"/>
      <c r="MGM63" s="10"/>
      <c r="MGN63" s="10"/>
      <c r="MGO63" s="10"/>
      <c r="MGP63" s="10"/>
      <c r="MGQ63" s="10"/>
      <c r="MGR63" s="10"/>
      <c r="MGS63" s="10"/>
      <c r="MGT63" s="10"/>
      <c r="MGU63" s="10"/>
      <c r="MGV63" s="10"/>
      <c r="MGW63" s="10"/>
      <c r="MGX63" s="10"/>
      <c r="MGY63" s="10"/>
      <c r="MGZ63" s="10"/>
      <c r="MHA63" s="10"/>
      <c r="MHB63" s="10"/>
      <c r="MHC63" s="10"/>
      <c r="MHD63" s="10"/>
      <c r="MHE63" s="10"/>
      <c r="MHF63" s="10"/>
      <c r="MHG63" s="10"/>
      <c r="MHH63" s="10"/>
      <c r="MHI63" s="10"/>
      <c r="MHJ63" s="10"/>
      <c r="MHK63" s="10"/>
      <c r="MHL63" s="10"/>
      <c r="MHM63" s="10"/>
      <c r="MHN63" s="10"/>
      <c r="MHO63" s="10"/>
      <c r="MHP63" s="10"/>
      <c r="MHQ63" s="10"/>
      <c r="MHR63" s="10"/>
      <c r="MHS63" s="10"/>
      <c r="MHT63" s="10"/>
      <c r="MHU63" s="10"/>
      <c r="MHV63" s="10"/>
      <c r="MHW63" s="10"/>
      <c r="MHX63" s="10"/>
      <c r="MHY63" s="10"/>
      <c r="MHZ63" s="10"/>
      <c r="MIA63" s="10"/>
      <c r="MIB63" s="10"/>
      <c r="MIC63" s="10"/>
      <c r="MID63" s="10"/>
      <c r="MIE63" s="10"/>
      <c r="MIF63" s="10"/>
      <c r="MIG63" s="10"/>
      <c r="MIH63" s="10"/>
      <c r="MII63" s="10"/>
      <c r="MIJ63" s="10"/>
      <c r="MIK63" s="10"/>
      <c r="MIL63" s="10"/>
      <c r="MIM63" s="10"/>
      <c r="MIN63" s="10"/>
      <c r="MIO63" s="10"/>
      <c r="MIP63" s="10"/>
      <c r="MIQ63" s="10"/>
      <c r="MIR63" s="10"/>
      <c r="MIS63" s="10"/>
      <c r="MIT63" s="10"/>
      <c r="MIU63" s="10"/>
      <c r="MIV63" s="10"/>
      <c r="MIW63" s="10"/>
      <c r="MIX63" s="10"/>
      <c r="MIY63" s="10"/>
      <c r="MIZ63" s="10"/>
      <c r="MJA63" s="10"/>
      <c r="MJB63" s="10"/>
      <c r="MJC63" s="10"/>
      <c r="MJD63" s="10"/>
      <c r="MJE63" s="10"/>
      <c r="MJF63" s="10"/>
      <c r="MJG63" s="10"/>
      <c r="MJH63" s="10"/>
      <c r="MJI63" s="10"/>
      <c r="MJJ63" s="10"/>
      <c r="MJK63" s="10"/>
      <c r="MJL63" s="10"/>
      <c r="MJM63" s="10"/>
      <c r="MJN63" s="10"/>
      <c r="MJO63" s="10"/>
      <c r="MJP63" s="10"/>
      <c r="MJQ63" s="10"/>
      <c r="MJR63" s="10"/>
      <c r="MJS63" s="10"/>
      <c r="MJT63" s="10"/>
      <c r="MJU63" s="10"/>
      <c r="MJV63" s="10"/>
      <c r="MJW63" s="10"/>
      <c r="MJX63" s="10"/>
      <c r="MJY63" s="10"/>
      <c r="MJZ63" s="10"/>
      <c r="MKA63" s="10"/>
      <c r="MKB63" s="10"/>
      <c r="MKC63" s="10"/>
      <c r="MKD63" s="10"/>
      <c r="MKE63" s="10"/>
      <c r="MKF63" s="10"/>
      <c r="MKG63" s="10"/>
      <c r="MKH63" s="10"/>
      <c r="MKI63" s="10"/>
      <c r="MKJ63" s="10"/>
      <c r="MKK63" s="10"/>
      <c r="MKL63" s="10"/>
      <c r="MKM63" s="10"/>
      <c r="MKN63" s="10"/>
      <c r="MKO63" s="10"/>
      <c r="MKP63" s="10"/>
      <c r="MKQ63" s="10"/>
      <c r="MKR63" s="10"/>
      <c r="MKS63" s="10"/>
      <c r="MKT63" s="10"/>
      <c r="MKU63" s="10"/>
      <c r="MKV63" s="10"/>
      <c r="MKW63" s="10"/>
      <c r="MKX63" s="10"/>
      <c r="MKY63" s="10"/>
      <c r="MKZ63" s="10"/>
      <c r="MLA63" s="10"/>
      <c r="MLB63" s="10"/>
      <c r="MLC63" s="10"/>
      <c r="MLD63" s="10"/>
      <c r="MLE63" s="10"/>
      <c r="MLF63" s="10"/>
      <c r="MLG63" s="10"/>
      <c r="MLH63" s="10"/>
      <c r="MLI63" s="10"/>
      <c r="MLJ63" s="10"/>
      <c r="MLK63" s="10"/>
      <c r="MLL63" s="10"/>
      <c r="MLM63" s="10"/>
      <c r="MLN63" s="10"/>
      <c r="MLO63" s="10"/>
      <c r="MLP63" s="10"/>
      <c r="MLQ63" s="10"/>
      <c r="MLR63" s="10"/>
      <c r="MLS63" s="10"/>
      <c r="MLT63" s="10"/>
      <c r="MLU63" s="10"/>
      <c r="MLV63" s="10"/>
      <c r="MLW63" s="10"/>
      <c r="MLX63" s="10"/>
      <c r="MLY63" s="10"/>
      <c r="MLZ63" s="10"/>
      <c r="MMA63" s="10"/>
      <c r="MMB63" s="10"/>
      <c r="MMC63" s="10"/>
      <c r="MMD63" s="10"/>
      <c r="MME63" s="10"/>
      <c r="MMF63" s="10"/>
      <c r="MMG63" s="10"/>
      <c r="MMH63" s="10"/>
      <c r="MMI63" s="10"/>
      <c r="MMJ63" s="10"/>
      <c r="MMK63" s="10"/>
      <c r="MML63" s="10"/>
      <c r="MMM63" s="10"/>
      <c r="MMN63" s="10"/>
      <c r="MMO63" s="10"/>
      <c r="MMP63" s="10"/>
      <c r="MMQ63" s="10"/>
      <c r="MMR63" s="10"/>
      <c r="MMS63" s="10"/>
      <c r="MMT63" s="10"/>
      <c r="MMU63" s="10"/>
      <c r="MMV63" s="10"/>
      <c r="MMW63" s="10"/>
      <c r="MMX63" s="10"/>
      <c r="MMY63" s="10"/>
      <c r="MMZ63" s="10"/>
      <c r="MNA63" s="10"/>
      <c r="MNB63" s="10"/>
      <c r="MNC63" s="10"/>
      <c r="MND63" s="10"/>
      <c r="MNE63" s="10"/>
      <c r="MNF63" s="10"/>
      <c r="MNG63" s="10"/>
      <c r="MNH63" s="10"/>
      <c r="MNI63" s="10"/>
      <c r="MNJ63" s="10"/>
      <c r="MNK63" s="10"/>
      <c r="MNL63" s="10"/>
      <c r="MNM63" s="10"/>
      <c r="MNN63" s="10"/>
      <c r="MNO63" s="10"/>
      <c r="MNP63" s="10"/>
      <c r="MNQ63" s="10"/>
      <c r="MNR63" s="10"/>
      <c r="MNS63" s="10"/>
      <c r="MNT63" s="10"/>
      <c r="MNU63" s="10"/>
      <c r="MNV63" s="10"/>
      <c r="MNW63" s="10"/>
      <c r="MNX63" s="10"/>
      <c r="MNY63" s="10"/>
      <c r="MNZ63" s="10"/>
      <c r="MOA63" s="10"/>
      <c r="MOB63" s="10"/>
      <c r="MOC63" s="10"/>
      <c r="MOD63" s="10"/>
      <c r="MOE63" s="10"/>
      <c r="MOF63" s="10"/>
      <c r="MOG63" s="10"/>
      <c r="MOH63" s="10"/>
      <c r="MOI63" s="10"/>
      <c r="MOJ63" s="10"/>
      <c r="MOK63" s="10"/>
      <c r="MOL63" s="10"/>
      <c r="MOM63" s="10"/>
      <c r="MON63" s="10"/>
      <c r="MOO63" s="10"/>
      <c r="MOP63" s="10"/>
      <c r="MOQ63" s="10"/>
      <c r="MOR63" s="10"/>
      <c r="MOS63" s="10"/>
      <c r="MOT63" s="10"/>
      <c r="MOU63" s="10"/>
      <c r="MOV63" s="10"/>
      <c r="MOW63" s="10"/>
      <c r="MOX63" s="10"/>
      <c r="MOY63" s="10"/>
      <c r="MOZ63" s="10"/>
      <c r="MPA63" s="10"/>
      <c r="MPB63" s="10"/>
      <c r="MPC63" s="10"/>
      <c r="MPD63" s="10"/>
      <c r="MPE63" s="10"/>
      <c r="MPF63" s="10"/>
      <c r="MPG63" s="10"/>
      <c r="MPH63" s="10"/>
      <c r="MPI63" s="10"/>
      <c r="MPJ63" s="10"/>
      <c r="MPK63" s="10"/>
      <c r="MPL63" s="10"/>
      <c r="MPM63" s="10"/>
      <c r="MPN63" s="10"/>
      <c r="MPO63" s="10"/>
      <c r="MPP63" s="10"/>
      <c r="MPQ63" s="10"/>
      <c r="MPR63" s="10"/>
      <c r="MPS63" s="10"/>
      <c r="MPT63" s="10"/>
      <c r="MPU63" s="10"/>
      <c r="MPV63" s="10"/>
      <c r="MPW63" s="10"/>
      <c r="MPX63" s="10"/>
      <c r="MPY63" s="10"/>
      <c r="MPZ63" s="10"/>
      <c r="MQA63" s="10"/>
      <c r="MQB63" s="10"/>
      <c r="MQC63" s="10"/>
      <c r="MQD63" s="10"/>
      <c r="MQE63" s="10"/>
      <c r="MQF63" s="10"/>
      <c r="MQG63" s="10"/>
      <c r="MQH63" s="10"/>
      <c r="MQI63" s="10"/>
      <c r="MQJ63" s="10"/>
      <c r="MQK63" s="10"/>
      <c r="MQL63" s="10"/>
      <c r="MQM63" s="10"/>
      <c r="MQN63" s="10"/>
      <c r="MQO63" s="10"/>
      <c r="MQP63" s="10"/>
      <c r="MQQ63" s="10"/>
      <c r="MQR63" s="10"/>
      <c r="MQS63" s="10"/>
      <c r="MQT63" s="10"/>
      <c r="MQU63" s="10"/>
      <c r="MQV63" s="10"/>
      <c r="MQW63" s="10"/>
      <c r="MQX63" s="10"/>
      <c r="MQY63" s="10"/>
      <c r="MQZ63" s="10"/>
      <c r="MRA63" s="10"/>
      <c r="MRB63" s="10"/>
      <c r="MRC63" s="10"/>
      <c r="MRD63" s="10"/>
      <c r="MRE63" s="10"/>
      <c r="MRF63" s="10"/>
      <c r="MRG63" s="10"/>
      <c r="MRH63" s="10"/>
      <c r="MRI63" s="10"/>
      <c r="MRJ63" s="10"/>
      <c r="MRK63" s="10"/>
      <c r="MRL63" s="10"/>
      <c r="MRM63" s="10"/>
      <c r="MRN63" s="10"/>
      <c r="MRO63" s="10"/>
      <c r="MRP63" s="10"/>
      <c r="MRQ63" s="10"/>
      <c r="MRR63" s="10"/>
      <c r="MRS63" s="10"/>
      <c r="MRT63" s="10"/>
      <c r="MRU63" s="10"/>
      <c r="MRV63" s="10"/>
      <c r="MRW63" s="10"/>
      <c r="MRX63" s="10"/>
      <c r="MRY63" s="10"/>
      <c r="MRZ63" s="10"/>
      <c r="MSA63" s="10"/>
      <c r="MSB63" s="10"/>
      <c r="MSC63" s="10"/>
      <c r="MSD63" s="10"/>
      <c r="MSE63" s="10"/>
      <c r="MSF63" s="10"/>
      <c r="MSG63" s="10"/>
      <c r="MSH63" s="10"/>
      <c r="MSI63" s="10"/>
      <c r="MSJ63" s="10"/>
      <c r="MSK63" s="10"/>
      <c r="MSL63" s="10"/>
      <c r="MSM63" s="10"/>
      <c r="MSN63" s="10"/>
      <c r="MSO63" s="10"/>
      <c r="MSP63" s="10"/>
      <c r="MSQ63" s="10"/>
      <c r="MSR63" s="10"/>
      <c r="MSS63" s="10"/>
      <c r="MST63" s="10"/>
      <c r="MSU63" s="10"/>
      <c r="MSV63" s="10"/>
      <c r="MSW63" s="10"/>
      <c r="MSX63" s="10"/>
      <c r="MSY63" s="10"/>
      <c r="MSZ63" s="10"/>
      <c r="MTA63" s="10"/>
      <c r="MTB63" s="10"/>
      <c r="MTC63" s="10"/>
      <c r="MTD63" s="10"/>
      <c r="MTE63" s="10"/>
      <c r="MTF63" s="10"/>
      <c r="MTG63" s="10"/>
      <c r="MTH63" s="10"/>
      <c r="MTI63" s="10"/>
      <c r="MTJ63" s="10"/>
      <c r="MTK63" s="10"/>
      <c r="MTL63" s="10"/>
      <c r="MTM63" s="10"/>
      <c r="MTN63" s="10"/>
      <c r="MTO63" s="10"/>
      <c r="MTP63" s="10"/>
      <c r="MTQ63" s="10"/>
      <c r="MTR63" s="10"/>
      <c r="MTS63" s="10"/>
      <c r="MTT63" s="10"/>
      <c r="MTU63" s="10"/>
      <c r="MTV63" s="10"/>
      <c r="MTW63" s="10"/>
      <c r="MTX63" s="10"/>
      <c r="MTY63" s="10"/>
      <c r="MTZ63" s="10"/>
      <c r="MUA63" s="10"/>
      <c r="MUB63" s="10"/>
      <c r="MUC63" s="10"/>
      <c r="MUD63" s="10"/>
      <c r="MUE63" s="10"/>
      <c r="MUF63" s="10"/>
      <c r="MUG63" s="10"/>
      <c r="MUH63" s="10"/>
      <c r="MUI63" s="10"/>
      <c r="MUJ63" s="10"/>
      <c r="MUK63" s="10"/>
      <c r="MUL63" s="10"/>
      <c r="MUM63" s="10"/>
      <c r="MUN63" s="10"/>
      <c r="MUO63" s="10"/>
      <c r="MUP63" s="10"/>
      <c r="MUQ63" s="10"/>
      <c r="MUR63" s="10"/>
      <c r="MUS63" s="10"/>
      <c r="MUT63" s="10"/>
      <c r="MUU63" s="10"/>
      <c r="MUV63" s="10"/>
      <c r="MUW63" s="10"/>
      <c r="MUX63" s="10"/>
      <c r="MUY63" s="10"/>
      <c r="MUZ63" s="10"/>
      <c r="MVA63" s="10"/>
      <c r="MVB63" s="10"/>
      <c r="MVC63" s="10"/>
      <c r="MVD63" s="10"/>
      <c r="MVE63" s="10"/>
      <c r="MVF63" s="10"/>
      <c r="MVG63" s="10"/>
      <c r="MVH63" s="10"/>
      <c r="MVI63" s="10"/>
      <c r="MVJ63" s="10"/>
      <c r="MVK63" s="10"/>
      <c r="MVL63" s="10"/>
      <c r="MVM63" s="10"/>
      <c r="MVN63" s="10"/>
      <c r="MVO63" s="10"/>
      <c r="MVP63" s="10"/>
      <c r="MVQ63" s="10"/>
      <c r="MVR63" s="10"/>
      <c r="MVS63" s="10"/>
      <c r="MVT63" s="10"/>
      <c r="MVU63" s="10"/>
      <c r="MVV63" s="10"/>
      <c r="MVW63" s="10"/>
      <c r="MVX63" s="10"/>
      <c r="MVY63" s="10"/>
      <c r="MVZ63" s="10"/>
      <c r="MWA63" s="10"/>
      <c r="MWB63" s="10"/>
      <c r="MWC63" s="10"/>
      <c r="MWD63" s="10"/>
      <c r="MWE63" s="10"/>
      <c r="MWF63" s="10"/>
      <c r="MWG63" s="10"/>
      <c r="MWH63" s="10"/>
      <c r="MWI63" s="10"/>
      <c r="MWJ63" s="10"/>
      <c r="MWK63" s="10"/>
      <c r="MWL63" s="10"/>
      <c r="MWM63" s="10"/>
      <c r="MWN63" s="10"/>
      <c r="MWO63" s="10"/>
      <c r="MWP63" s="10"/>
      <c r="MWQ63" s="10"/>
      <c r="MWR63" s="10"/>
      <c r="MWS63" s="10"/>
      <c r="MWT63" s="10"/>
      <c r="MWU63" s="10"/>
      <c r="MWV63" s="10"/>
      <c r="MWW63" s="10"/>
      <c r="MWX63" s="10"/>
      <c r="MWY63" s="10"/>
      <c r="MWZ63" s="10"/>
      <c r="MXA63" s="10"/>
      <c r="MXB63" s="10"/>
      <c r="MXC63" s="10"/>
      <c r="MXD63" s="10"/>
      <c r="MXE63" s="10"/>
      <c r="MXF63" s="10"/>
      <c r="MXG63" s="10"/>
      <c r="MXH63" s="10"/>
      <c r="MXI63" s="10"/>
      <c r="MXJ63" s="10"/>
      <c r="MXK63" s="10"/>
      <c r="MXL63" s="10"/>
      <c r="MXM63" s="10"/>
      <c r="MXN63" s="10"/>
      <c r="MXO63" s="10"/>
      <c r="MXP63" s="10"/>
      <c r="MXQ63" s="10"/>
      <c r="MXR63" s="10"/>
      <c r="MXS63" s="10"/>
      <c r="MXT63" s="10"/>
      <c r="MXU63" s="10"/>
      <c r="MXV63" s="10"/>
      <c r="MXW63" s="10"/>
      <c r="MXX63" s="10"/>
      <c r="MXY63" s="10"/>
      <c r="MXZ63" s="10"/>
      <c r="MYA63" s="10"/>
      <c r="MYB63" s="10"/>
      <c r="MYC63" s="10"/>
      <c r="MYD63" s="10"/>
      <c r="MYE63" s="10"/>
      <c r="MYF63" s="10"/>
      <c r="MYG63" s="10"/>
      <c r="MYH63" s="10"/>
      <c r="MYI63" s="10"/>
      <c r="MYJ63" s="10"/>
      <c r="MYK63" s="10"/>
      <c r="MYL63" s="10"/>
      <c r="MYM63" s="10"/>
      <c r="MYN63" s="10"/>
      <c r="MYO63" s="10"/>
      <c r="MYP63" s="10"/>
      <c r="MYQ63" s="10"/>
      <c r="MYR63" s="10"/>
      <c r="MYS63" s="10"/>
      <c r="MYT63" s="10"/>
      <c r="MYU63" s="10"/>
      <c r="MYV63" s="10"/>
      <c r="MYW63" s="10"/>
      <c r="MYX63" s="10"/>
      <c r="MYY63" s="10"/>
      <c r="MYZ63" s="10"/>
      <c r="MZA63" s="10"/>
      <c r="MZB63" s="10"/>
      <c r="MZC63" s="10"/>
      <c r="MZD63" s="10"/>
      <c r="MZE63" s="10"/>
      <c r="MZF63" s="10"/>
      <c r="MZG63" s="10"/>
      <c r="MZH63" s="10"/>
      <c r="MZI63" s="10"/>
      <c r="MZJ63" s="10"/>
      <c r="MZK63" s="10"/>
      <c r="MZL63" s="10"/>
      <c r="MZM63" s="10"/>
      <c r="MZN63" s="10"/>
      <c r="MZO63" s="10"/>
      <c r="MZP63" s="10"/>
      <c r="MZQ63" s="10"/>
      <c r="MZR63" s="10"/>
      <c r="MZS63" s="10"/>
      <c r="MZT63" s="10"/>
      <c r="MZU63" s="10"/>
      <c r="MZV63" s="10"/>
      <c r="MZW63" s="10"/>
      <c r="MZX63" s="10"/>
      <c r="MZY63" s="10"/>
      <c r="MZZ63" s="10"/>
      <c r="NAA63" s="10"/>
      <c r="NAB63" s="10"/>
      <c r="NAC63" s="10"/>
      <c r="NAD63" s="10"/>
      <c r="NAE63" s="10"/>
      <c r="NAF63" s="10"/>
      <c r="NAG63" s="10"/>
      <c r="NAH63" s="10"/>
      <c r="NAI63" s="10"/>
      <c r="NAJ63" s="10"/>
      <c r="NAK63" s="10"/>
      <c r="NAL63" s="10"/>
      <c r="NAM63" s="10"/>
      <c r="NAN63" s="10"/>
      <c r="NAO63" s="10"/>
      <c r="NAP63" s="10"/>
      <c r="NAQ63" s="10"/>
      <c r="NAR63" s="10"/>
      <c r="NAS63" s="10"/>
      <c r="NAT63" s="10"/>
      <c r="NAU63" s="10"/>
      <c r="NAV63" s="10"/>
      <c r="NAW63" s="10"/>
      <c r="NAX63" s="10"/>
      <c r="NAY63" s="10"/>
      <c r="NAZ63" s="10"/>
      <c r="NBA63" s="10"/>
      <c r="NBB63" s="10"/>
      <c r="NBC63" s="10"/>
      <c r="NBD63" s="10"/>
      <c r="NBE63" s="10"/>
      <c r="NBF63" s="10"/>
      <c r="NBG63" s="10"/>
      <c r="NBH63" s="10"/>
      <c r="NBI63" s="10"/>
      <c r="NBJ63" s="10"/>
      <c r="NBK63" s="10"/>
      <c r="NBL63" s="10"/>
      <c r="NBM63" s="10"/>
      <c r="NBN63" s="10"/>
      <c r="NBO63" s="10"/>
      <c r="NBP63" s="10"/>
      <c r="NBQ63" s="10"/>
      <c r="NBR63" s="10"/>
      <c r="NBS63" s="10"/>
      <c r="NBT63" s="10"/>
      <c r="NBU63" s="10"/>
      <c r="NBV63" s="10"/>
      <c r="NBW63" s="10"/>
      <c r="NBX63" s="10"/>
      <c r="NBY63" s="10"/>
      <c r="NBZ63" s="10"/>
      <c r="NCA63" s="10"/>
      <c r="NCB63" s="10"/>
      <c r="NCC63" s="10"/>
      <c r="NCD63" s="10"/>
      <c r="NCE63" s="10"/>
      <c r="NCF63" s="10"/>
      <c r="NCG63" s="10"/>
      <c r="NCH63" s="10"/>
      <c r="NCI63" s="10"/>
      <c r="NCJ63" s="10"/>
      <c r="NCK63" s="10"/>
      <c r="NCL63" s="10"/>
      <c r="NCM63" s="10"/>
      <c r="NCN63" s="10"/>
      <c r="NCO63" s="10"/>
      <c r="NCP63" s="10"/>
      <c r="NCQ63" s="10"/>
      <c r="NCR63" s="10"/>
      <c r="NCS63" s="10"/>
      <c r="NCT63" s="10"/>
      <c r="NCU63" s="10"/>
      <c r="NCV63" s="10"/>
      <c r="NCW63" s="10"/>
      <c r="NCX63" s="10"/>
      <c r="NCY63" s="10"/>
      <c r="NCZ63" s="10"/>
      <c r="NDA63" s="10"/>
      <c r="NDB63" s="10"/>
      <c r="NDC63" s="10"/>
      <c r="NDD63" s="10"/>
      <c r="NDE63" s="10"/>
      <c r="NDF63" s="10"/>
      <c r="NDG63" s="10"/>
      <c r="NDH63" s="10"/>
      <c r="NDI63" s="10"/>
      <c r="NDJ63" s="10"/>
      <c r="NDK63" s="10"/>
      <c r="NDL63" s="10"/>
      <c r="NDM63" s="10"/>
      <c r="NDN63" s="10"/>
      <c r="NDO63" s="10"/>
      <c r="NDP63" s="10"/>
      <c r="NDQ63" s="10"/>
      <c r="NDR63" s="10"/>
      <c r="NDS63" s="10"/>
      <c r="NDT63" s="10"/>
      <c r="NDU63" s="10"/>
      <c r="NDV63" s="10"/>
      <c r="NDW63" s="10"/>
      <c r="NDX63" s="10"/>
      <c r="NDY63" s="10"/>
      <c r="NDZ63" s="10"/>
      <c r="NEA63" s="10"/>
      <c r="NEB63" s="10"/>
      <c r="NEC63" s="10"/>
      <c r="NED63" s="10"/>
      <c r="NEE63" s="10"/>
      <c r="NEF63" s="10"/>
      <c r="NEG63" s="10"/>
      <c r="NEH63" s="10"/>
      <c r="NEI63" s="10"/>
      <c r="NEJ63" s="10"/>
      <c r="NEK63" s="10"/>
      <c r="NEL63" s="10"/>
      <c r="NEM63" s="10"/>
      <c r="NEN63" s="10"/>
      <c r="NEO63" s="10"/>
      <c r="NEP63" s="10"/>
      <c r="NEQ63" s="10"/>
      <c r="NER63" s="10"/>
      <c r="NES63" s="10"/>
      <c r="NET63" s="10"/>
      <c r="NEU63" s="10"/>
      <c r="NEV63" s="10"/>
      <c r="NEW63" s="10"/>
      <c r="NEX63" s="10"/>
      <c r="NEY63" s="10"/>
      <c r="NEZ63" s="10"/>
      <c r="NFA63" s="10"/>
      <c r="NFB63" s="10"/>
      <c r="NFC63" s="10"/>
      <c r="NFD63" s="10"/>
      <c r="NFE63" s="10"/>
      <c r="NFF63" s="10"/>
      <c r="NFG63" s="10"/>
      <c r="NFH63" s="10"/>
      <c r="NFI63" s="10"/>
      <c r="NFJ63" s="10"/>
      <c r="NFK63" s="10"/>
      <c r="NFL63" s="10"/>
      <c r="NFM63" s="10"/>
      <c r="NFN63" s="10"/>
      <c r="NFO63" s="10"/>
      <c r="NFP63" s="10"/>
      <c r="NFQ63" s="10"/>
      <c r="NFR63" s="10"/>
      <c r="NFS63" s="10"/>
      <c r="NFT63" s="10"/>
      <c r="NFU63" s="10"/>
      <c r="NFV63" s="10"/>
      <c r="NFW63" s="10"/>
      <c r="NFX63" s="10"/>
      <c r="NFY63" s="10"/>
      <c r="NFZ63" s="10"/>
      <c r="NGA63" s="10"/>
      <c r="NGB63" s="10"/>
      <c r="NGC63" s="10"/>
      <c r="NGD63" s="10"/>
      <c r="NGE63" s="10"/>
      <c r="NGF63" s="10"/>
      <c r="NGG63" s="10"/>
      <c r="NGH63" s="10"/>
      <c r="NGI63" s="10"/>
      <c r="NGJ63" s="10"/>
      <c r="NGK63" s="10"/>
      <c r="NGL63" s="10"/>
      <c r="NGM63" s="10"/>
      <c r="NGN63" s="10"/>
      <c r="NGO63" s="10"/>
      <c r="NGP63" s="10"/>
      <c r="NGQ63" s="10"/>
      <c r="NGR63" s="10"/>
      <c r="NGS63" s="10"/>
      <c r="NGT63" s="10"/>
      <c r="NGU63" s="10"/>
      <c r="NGV63" s="10"/>
      <c r="NGW63" s="10"/>
      <c r="NGX63" s="10"/>
      <c r="NGY63" s="10"/>
      <c r="NGZ63" s="10"/>
      <c r="NHA63" s="10"/>
      <c r="NHB63" s="10"/>
      <c r="NHC63" s="10"/>
      <c r="NHD63" s="10"/>
      <c r="NHE63" s="10"/>
      <c r="NHF63" s="10"/>
      <c r="NHG63" s="10"/>
      <c r="NHH63" s="10"/>
      <c r="NHI63" s="10"/>
      <c r="NHJ63" s="10"/>
      <c r="NHK63" s="10"/>
      <c r="NHL63" s="10"/>
      <c r="NHM63" s="10"/>
      <c r="NHN63" s="10"/>
      <c r="NHO63" s="10"/>
      <c r="NHP63" s="10"/>
      <c r="NHQ63" s="10"/>
      <c r="NHR63" s="10"/>
      <c r="NHS63" s="10"/>
      <c r="NHT63" s="10"/>
      <c r="NHU63" s="10"/>
      <c r="NHV63" s="10"/>
      <c r="NHW63" s="10"/>
      <c r="NHX63" s="10"/>
      <c r="NHY63" s="10"/>
      <c r="NHZ63" s="10"/>
      <c r="NIA63" s="10"/>
      <c r="NIB63" s="10"/>
      <c r="NIC63" s="10"/>
      <c r="NID63" s="10"/>
      <c r="NIE63" s="10"/>
      <c r="NIF63" s="10"/>
      <c r="NIG63" s="10"/>
      <c r="NIH63" s="10"/>
      <c r="NII63" s="10"/>
      <c r="NIJ63" s="10"/>
      <c r="NIK63" s="10"/>
      <c r="NIL63" s="10"/>
      <c r="NIM63" s="10"/>
      <c r="NIN63" s="10"/>
      <c r="NIO63" s="10"/>
      <c r="NIP63" s="10"/>
      <c r="NIQ63" s="10"/>
      <c r="NIR63" s="10"/>
      <c r="NIS63" s="10"/>
      <c r="NIT63" s="10"/>
      <c r="NIU63" s="10"/>
      <c r="NIV63" s="10"/>
      <c r="NIW63" s="10"/>
      <c r="NIX63" s="10"/>
      <c r="NIY63" s="10"/>
      <c r="NIZ63" s="10"/>
      <c r="NJA63" s="10"/>
      <c r="NJB63" s="10"/>
      <c r="NJC63" s="10"/>
      <c r="NJD63" s="10"/>
      <c r="NJE63" s="10"/>
      <c r="NJF63" s="10"/>
      <c r="NJG63" s="10"/>
      <c r="NJH63" s="10"/>
      <c r="NJI63" s="10"/>
      <c r="NJJ63" s="10"/>
      <c r="NJK63" s="10"/>
      <c r="NJL63" s="10"/>
      <c r="NJM63" s="10"/>
      <c r="NJN63" s="10"/>
      <c r="NJO63" s="10"/>
      <c r="NJP63" s="10"/>
      <c r="NJQ63" s="10"/>
      <c r="NJR63" s="10"/>
      <c r="NJS63" s="10"/>
      <c r="NJT63" s="10"/>
      <c r="NJU63" s="10"/>
      <c r="NJV63" s="10"/>
      <c r="NJW63" s="10"/>
      <c r="NJX63" s="10"/>
      <c r="NJY63" s="10"/>
      <c r="NJZ63" s="10"/>
      <c r="NKA63" s="10"/>
      <c r="NKB63" s="10"/>
      <c r="NKC63" s="10"/>
      <c r="NKD63" s="10"/>
      <c r="NKE63" s="10"/>
      <c r="NKF63" s="10"/>
      <c r="NKG63" s="10"/>
      <c r="NKH63" s="10"/>
      <c r="NKI63" s="10"/>
      <c r="NKJ63" s="10"/>
      <c r="NKK63" s="10"/>
      <c r="NKL63" s="10"/>
      <c r="NKM63" s="10"/>
      <c r="NKN63" s="10"/>
      <c r="NKO63" s="10"/>
      <c r="NKP63" s="10"/>
      <c r="NKQ63" s="10"/>
      <c r="NKR63" s="10"/>
      <c r="NKS63" s="10"/>
      <c r="NKT63" s="10"/>
      <c r="NKU63" s="10"/>
      <c r="NKV63" s="10"/>
      <c r="NKW63" s="10"/>
      <c r="NKX63" s="10"/>
      <c r="NKY63" s="10"/>
      <c r="NKZ63" s="10"/>
      <c r="NLA63" s="10"/>
      <c r="NLB63" s="10"/>
      <c r="NLC63" s="10"/>
      <c r="NLD63" s="10"/>
      <c r="NLE63" s="10"/>
      <c r="NLF63" s="10"/>
      <c r="NLG63" s="10"/>
      <c r="NLH63" s="10"/>
      <c r="NLI63" s="10"/>
      <c r="NLJ63" s="10"/>
      <c r="NLK63" s="10"/>
      <c r="NLL63" s="10"/>
      <c r="NLM63" s="10"/>
      <c r="NLN63" s="10"/>
      <c r="NLO63" s="10"/>
      <c r="NLP63" s="10"/>
      <c r="NLQ63" s="10"/>
      <c r="NLR63" s="10"/>
      <c r="NLS63" s="10"/>
      <c r="NLT63" s="10"/>
      <c r="NLU63" s="10"/>
      <c r="NLV63" s="10"/>
      <c r="NLW63" s="10"/>
      <c r="NLX63" s="10"/>
      <c r="NLY63" s="10"/>
      <c r="NLZ63" s="10"/>
      <c r="NMA63" s="10"/>
      <c r="NMB63" s="10"/>
      <c r="NMC63" s="10"/>
      <c r="NMD63" s="10"/>
      <c r="NME63" s="10"/>
      <c r="NMF63" s="10"/>
      <c r="NMG63" s="10"/>
      <c r="NMH63" s="10"/>
      <c r="NMI63" s="10"/>
      <c r="NMJ63" s="10"/>
      <c r="NMK63" s="10"/>
      <c r="NML63" s="10"/>
      <c r="NMM63" s="10"/>
      <c r="NMN63" s="10"/>
      <c r="NMO63" s="10"/>
      <c r="NMP63" s="10"/>
      <c r="NMQ63" s="10"/>
      <c r="NMR63" s="10"/>
      <c r="NMS63" s="10"/>
      <c r="NMT63" s="10"/>
      <c r="NMU63" s="10"/>
      <c r="NMV63" s="10"/>
      <c r="NMW63" s="10"/>
      <c r="NMX63" s="10"/>
      <c r="NMY63" s="10"/>
      <c r="NMZ63" s="10"/>
      <c r="NNA63" s="10"/>
      <c r="NNB63" s="10"/>
      <c r="NNC63" s="10"/>
      <c r="NND63" s="10"/>
      <c r="NNE63" s="10"/>
      <c r="NNF63" s="10"/>
      <c r="NNG63" s="10"/>
      <c r="NNH63" s="10"/>
      <c r="NNI63" s="10"/>
      <c r="NNJ63" s="10"/>
      <c r="NNK63" s="10"/>
      <c r="NNL63" s="10"/>
      <c r="NNM63" s="10"/>
      <c r="NNN63" s="10"/>
      <c r="NNO63" s="10"/>
      <c r="NNP63" s="10"/>
      <c r="NNQ63" s="10"/>
      <c r="NNR63" s="10"/>
      <c r="NNS63" s="10"/>
      <c r="NNT63" s="10"/>
      <c r="NNU63" s="10"/>
      <c r="NNV63" s="10"/>
      <c r="NNW63" s="10"/>
      <c r="NNX63" s="10"/>
      <c r="NNY63" s="10"/>
      <c r="NNZ63" s="10"/>
      <c r="NOA63" s="10"/>
      <c r="NOB63" s="10"/>
      <c r="NOC63" s="10"/>
      <c r="NOD63" s="10"/>
      <c r="NOE63" s="10"/>
      <c r="NOF63" s="10"/>
      <c r="NOG63" s="10"/>
      <c r="NOH63" s="10"/>
      <c r="NOI63" s="10"/>
      <c r="NOJ63" s="10"/>
      <c r="NOK63" s="10"/>
      <c r="NOL63" s="10"/>
      <c r="NOM63" s="10"/>
      <c r="NON63" s="10"/>
      <c r="NOO63" s="10"/>
      <c r="NOP63" s="10"/>
      <c r="NOQ63" s="10"/>
      <c r="NOR63" s="10"/>
      <c r="NOS63" s="10"/>
      <c r="NOT63" s="10"/>
      <c r="NOU63" s="10"/>
      <c r="NOV63" s="10"/>
      <c r="NOW63" s="10"/>
      <c r="NOX63" s="10"/>
      <c r="NOY63" s="10"/>
      <c r="NOZ63" s="10"/>
      <c r="NPA63" s="10"/>
      <c r="NPB63" s="10"/>
      <c r="NPC63" s="10"/>
      <c r="NPD63" s="10"/>
      <c r="NPE63" s="10"/>
      <c r="NPF63" s="10"/>
      <c r="NPG63" s="10"/>
      <c r="NPH63" s="10"/>
      <c r="NPI63" s="10"/>
      <c r="NPJ63" s="10"/>
      <c r="NPK63" s="10"/>
      <c r="NPL63" s="10"/>
      <c r="NPM63" s="10"/>
      <c r="NPN63" s="10"/>
      <c r="NPO63" s="10"/>
      <c r="NPP63" s="10"/>
      <c r="NPQ63" s="10"/>
      <c r="NPR63" s="10"/>
      <c r="NPS63" s="10"/>
      <c r="NPT63" s="10"/>
      <c r="NPU63" s="10"/>
      <c r="NPV63" s="10"/>
      <c r="NPW63" s="10"/>
      <c r="NPX63" s="10"/>
      <c r="NPY63" s="10"/>
      <c r="NPZ63" s="10"/>
      <c r="NQA63" s="10"/>
      <c r="NQB63" s="10"/>
      <c r="NQC63" s="10"/>
      <c r="NQD63" s="10"/>
      <c r="NQE63" s="10"/>
      <c r="NQF63" s="10"/>
      <c r="NQG63" s="10"/>
      <c r="NQH63" s="10"/>
      <c r="NQI63" s="10"/>
      <c r="NQJ63" s="10"/>
      <c r="NQK63" s="10"/>
      <c r="NQL63" s="10"/>
      <c r="NQM63" s="10"/>
      <c r="NQN63" s="10"/>
      <c r="NQO63" s="10"/>
      <c r="NQP63" s="10"/>
      <c r="NQQ63" s="10"/>
      <c r="NQR63" s="10"/>
      <c r="NQS63" s="10"/>
      <c r="NQT63" s="10"/>
      <c r="NQU63" s="10"/>
      <c r="NQV63" s="10"/>
      <c r="NQW63" s="10"/>
      <c r="NQX63" s="10"/>
      <c r="NQY63" s="10"/>
      <c r="NQZ63" s="10"/>
      <c r="NRA63" s="10"/>
      <c r="NRB63" s="10"/>
      <c r="NRC63" s="10"/>
      <c r="NRD63" s="10"/>
      <c r="NRE63" s="10"/>
      <c r="NRF63" s="10"/>
      <c r="NRG63" s="10"/>
      <c r="NRH63" s="10"/>
      <c r="NRI63" s="10"/>
      <c r="NRJ63" s="10"/>
      <c r="NRK63" s="10"/>
      <c r="NRL63" s="10"/>
      <c r="NRM63" s="10"/>
      <c r="NRN63" s="10"/>
      <c r="NRO63" s="10"/>
      <c r="NRP63" s="10"/>
      <c r="NRQ63" s="10"/>
      <c r="NRR63" s="10"/>
      <c r="NRS63" s="10"/>
      <c r="NRT63" s="10"/>
      <c r="NRU63" s="10"/>
      <c r="NRV63" s="10"/>
      <c r="NRW63" s="10"/>
      <c r="NRX63" s="10"/>
      <c r="NRY63" s="10"/>
      <c r="NRZ63" s="10"/>
      <c r="NSA63" s="10"/>
      <c r="NSB63" s="10"/>
      <c r="NSC63" s="10"/>
      <c r="NSD63" s="10"/>
      <c r="NSE63" s="10"/>
      <c r="NSF63" s="10"/>
      <c r="NSG63" s="10"/>
      <c r="NSH63" s="10"/>
      <c r="NSI63" s="10"/>
      <c r="NSJ63" s="10"/>
      <c r="NSK63" s="10"/>
      <c r="NSL63" s="10"/>
      <c r="NSM63" s="10"/>
      <c r="NSN63" s="10"/>
      <c r="NSO63" s="10"/>
      <c r="NSP63" s="10"/>
      <c r="NSQ63" s="10"/>
      <c r="NSR63" s="10"/>
      <c r="NSS63" s="10"/>
      <c r="NST63" s="10"/>
      <c r="NSU63" s="10"/>
      <c r="NSV63" s="10"/>
      <c r="NSW63" s="10"/>
      <c r="NSX63" s="10"/>
      <c r="NSY63" s="10"/>
      <c r="NSZ63" s="10"/>
      <c r="NTA63" s="10"/>
      <c r="NTB63" s="10"/>
      <c r="NTC63" s="10"/>
      <c r="NTD63" s="10"/>
      <c r="NTE63" s="10"/>
      <c r="NTF63" s="10"/>
      <c r="NTG63" s="10"/>
      <c r="NTH63" s="10"/>
      <c r="NTI63" s="10"/>
      <c r="NTJ63" s="10"/>
      <c r="NTK63" s="10"/>
      <c r="NTL63" s="10"/>
      <c r="NTM63" s="10"/>
      <c r="NTN63" s="10"/>
      <c r="NTO63" s="10"/>
      <c r="NTP63" s="10"/>
      <c r="NTQ63" s="10"/>
      <c r="NTR63" s="10"/>
      <c r="NTS63" s="10"/>
      <c r="NTT63" s="10"/>
      <c r="NTU63" s="10"/>
      <c r="NTV63" s="10"/>
      <c r="NTW63" s="10"/>
      <c r="NTX63" s="10"/>
      <c r="NTY63" s="10"/>
      <c r="NTZ63" s="10"/>
      <c r="NUA63" s="10"/>
      <c r="NUB63" s="10"/>
      <c r="NUC63" s="10"/>
      <c r="NUD63" s="10"/>
      <c r="NUE63" s="10"/>
      <c r="NUF63" s="10"/>
      <c r="NUG63" s="10"/>
      <c r="NUH63" s="10"/>
      <c r="NUI63" s="10"/>
      <c r="NUJ63" s="10"/>
      <c r="NUK63" s="10"/>
      <c r="NUL63" s="10"/>
      <c r="NUM63" s="10"/>
      <c r="NUN63" s="10"/>
      <c r="NUO63" s="10"/>
      <c r="NUP63" s="10"/>
      <c r="NUQ63" s="10"/>
      <c r="NUR63" s="10"/>
      <c r="NUS63" s="10"/>
      <c r="NUT63" s="10"/>
      <c r="NUU63" s="10"/>
      <c r="NUV63" s="10"/>
      <c r="NUW63" s="10"/>
      <c r="NUX63" s="10"/>
      <c r="NUY63" s="10"/>
      <c r="NUZ63" s="10"/>
      <c r="NVA63" s="10"/>
      <c r="NVB63" s="10"/>
      <c r="NVC63" s="10"/>
      <c r="NVD63" s="10"/>
      <c r="NVE63" s="10"/>
      <c r="NVF63" s="10"/>
      <c r="NVG63" s="10"/>
      <c r="NVH63" s="10"/>
      <c r="NVI63" s="10"/>
      <c r="NVJ63" s="10"/>
      <c r="NVK63" s="10"/>
      <c r="NVL63" s="10"/>
      <c r="NVM63" s="10"/>
      <c r="NVN63" s="10"/>
      <c r="NVO63" s="10"/>
      <c r="NVP63" s="10"/>
      <c r="NVQ63" s="10"/>
      <c r="NVR63" s="10"/>
      <c r="NVS63" s="10"/>
      <c r="NVT63" s="10"/>
      <c r="NVU63" s="10"/>
      <c r="NVV63" s="10"/>
      <c r="NVW63" s="10"/>
      <c r="NVX63" s="10"/>
      <c r="NVY63" s="10"/>
      <c r="NVZ63" s="10"/>
      <c r="NWA63" s="10"/>
      <c r="NWB63" s="10"/>
      <c r="NWC63" s="10"/>
      <c r="NWD63" s="10"/>
      <c r="NWE63" s="10"/>
      <c r="NWF63" s="10"/>
      <c r="NWG63" s="10"/>
      <c r="NWH63" s="10"/>
      <c r="NWI63" s="10"/>
      <c r="NWJ63" s="10"/>
      <c r="NWK63" s="10"/>
      <c r="NWL63" s="10"/>
      <c r="NWM63" s="10"/>
      <c r="NWN63" s="10"/>
      <c r="NWO63" s="10"/>
      <c r="NWP63" s="10"/>
      <c r="NWQ63" s="10"/>
      <c r="NWR63" s="10"/>
      <c r="NWS63" s="10"/>
      <c r="NWT63" s="10"/>
      <c r="NWU63" s="10"/>
      <c r="NWV63" s="10"/>
      <c r="NWW63" s="10"/>
      <c r="NWX63" s="10"/>
      <c r="NWY63" s="10"/>
      <c r="NWZ63" s="10"/>
      <c r="NXA63" s="10"/>
      <c r="NXB63" s="10"/>
      <c r="NXC63" s="10"/>
      <c r="NXD63" s="10"/>
      <c r="NXE63" s="10"/>
      <c r="NXF63" s="10"/>
      <c r="NXG63" s="10"/>
      <c r="NXH63" s="10"/>
      <c r="NXI63" s="10"/>
      <c r="NXJ63" s="10"/>
      <c r="NXK63" s="10"/>
      <c r="NXL63" s="10"/>
      <c r="NXM63" s="10"/>
      <c r="NXN63" s="10"/>
      <c r="NXO63" s="10"/>
      <c r="NXP63" s="10"/>
      <c r="NXQ63" s="10"/>
      <c r="NXR63" s="10"/>
      <c r="NXS63" s="10"/>
      <c r="NXT63" s="10"/>
      <c r="NXU63" s="10"/>
      <c r="NXV63" s="10"/>
      <c r="NXW63" s="10"/>
      <c r="NXX63" s="10"/>
      <c r="NXY63" s="10"/>
      <c r="NXZ63" s="10"/>
      <c r="NYA63" s="10"/>
      <c r="NYB63" s="10"/>
      <c r="NYC63" s="10"/>
      <c r="NYD63" s="10"/>
      <c r="NYE63" s="10"/>
      <c r="NYF63" s="10"/>
      <c r="NYG63" s="10"/>
      <c r="NYH63" s="10"/>
      <c r="NYI63" s="10"/>
      <c r="NYJ63" s="10"/>
      <c r="NYK63" s="10"/>
      <c r="NYL63" s="10"/>
      <c r="NYM63" s="10"/>
      <c r="NYN63" s="10"/>
      <c r="NYO63" s="10"/>
      <c r="NYP63" s="10"/>
      <c r="NYQ63" s="10"/>
      <c r="NYR63" s="10"/>
      <c r="NYS63" s="10"/>
      <c r="NYT63" s="10"/>
      <c r="NYU63" s="10"/>
      <c r="NYV63" s="10"/>
      <c r="NYW63" s="10"/>
      <c r="NYX63" s="10"/>
      <c r="NYY63" s="10"/>
      <c r="NYZ63" s="10"/>
      <c r="NZA63" s="10"/>
      <c r="NZB63" s="10"/>
      <c r="NZC63" s="10"/>
      <c r="NZD63" s="10"/>
      <c r="NZE63" s="10"/>
      <c r="NZF63" s="10"/>
      <c r="NZG63" s="10"/>
      <c r="NZH63" s="10"/>
      <c r="NZI63" s="10"/>
      <c r="NZJ63" s="10"/>
      <c r="NZK63" s="10"/>
      <c r="NZL63" s="10"/>
      <c r="NZM63" s="10"/>
      <c r="NZN63" s="10"/>
      <c r="NZO63" s="10"/>
      <c r="NZP63" s="10"/>
      <c r="NZQ63" s="10"/>
      <c r="NZR63" s="10"/>
      <c r="NZS63" s="10"/>
      <c r="NZT63" s="10"/>
      <c r="NZU63" s="10"/>
      <c r="NZV63" s="10"/>
      <c r="NZW63" s="10"/>
      <c r="NZX63" s="10"/>
      <c r="NZY63" s="10"/>
      <c r="NZZ63" s="10"/>
      <c r="OAA63" s="10"/>
      <c r="OAB63" s="10"/>
      <c r="OAC63" s="10"/>
      <c r="OAD63" s="10"/>
      <c r="OAE63" s="10"/>
      <c r="OAF63" s="10"/>
      <c r="OAG63" s="10"/>
      <c r="OAH63" s="10"/>
      <c r="OAI63" s="10"/>
      <c r="OAJ63" s="10"/>
      <c r="OAK63" s="10"/>
      <c r="OAL63" s="10"/>
      <c r="OAM63" s="10"/>
      <c r="OAN63" s="10"/>
      <c r="OAO63" s="10"/>
      <c r="OAP63" s="10"/>
      <c r="OAQ63" s="10"/>
      <c r="OAR63" s="10"/>
      <c r="OAS63" s="10"/>
      <c r="OAT63" s="10"/>
      <c r="OAU63" s="10"/>
      <c r="OAV63" s="10"/>
      <c r="OAW63" s="10"/>
      <c r="OAX63" s="10"/>
      <c r="OAY63" s="10"/>
      <c r="OAZ63" s="10"/>
      <c r="OBA63" s="10"/>
      <c r="OBB63" s="10"/>
      <c r="OBC63" s="10"/>
      <c r="OBD63" s="10"/>
      <c r="OBE63" s="10"/>
      <c r="OBF63" s="10"/>
      <c r="OBG63" s="10"/>
      <c r="OBH63" s="10"/>
      <c r="OBI63" s="10"/>
      <c r="OBJ63" s="10"/>
      <c r="OBK63" s="10"/>
      <c r="OBL63" s="10"/>
      <c r="OBM63" s="10"/>
      <c r="OBN63" s="10"/>
      <c r="OBO63" s="10"/>
      <c r="OBP63" s="10"/>
      <c r="OBQ63" s="10"/>
      <c r="OBR63" s="10"/>
      <c r="OBS63" s="10"/>
      <c r="OBT63" s="10"/>
      <c r="OBU63" s="10"/>
      <c r="OBV63" s="10"/>
      <c r="OBW63" s="10"/>
      <c r="OBX63" s="10"/>
      <c r="OBY63" s="10"/>
      <c r="OBZ63" s="10"/>
      <c r="OCA63" s="10"/>
      <c r="OCB63" s="10"/>
      <c r="OCC63" s="10"/>
      <c r="OCD63" s="10"/>
      <c r="OCE63" s="10"/>
      <c r="OCF63" s="10"/>
      <c r="OCG63" s="10"/>
      <c r="OCH63" s="10"/>
      <c r="OCI63" s="10"/>
      <c r="OCJ63" s="10"/>
      <c r="OCK63" s="10"/>
      <c r="OCL63" s="10"/>
      <c r="OCM63" s="10"/>
      <c r="OCN63" s="10"/>
      <c r="OCO63" s="10"/>
      <c r="OCP63" s="10"/>
      <c r="OCQ63" s="10"/>
      <c r="OCR63" s="10"/>
      <c r="OCS63" s="10"/>
      <c r="OCT63" s="10"/>
      <c r="OCU63" s="10"/>
      <c r="OCV63" s="10"/>
      <c r="OCW63" s="10"/>
      <c r="OCX63" s="10"/>
      <c r="OCY63" s="10"/>
      <c r="OCZ63" s="10"/>
      <c r="ODA63" s="10"/>
      <c r="ODB63" s="10"/>
      <c r="ODC63" s="10"/>
      <c r="ODD63" s="10"/>
      <c r="ODE63" s="10"/>
      <c r="ODF63" s="10"/>
      <c r="ODG63" s="10"/>
      <c r="ODH63" s="10"/>
      <c r="ODI63" s="10"/>
      <c r="ODJ63" s="10"/>
      <c r="ODK63" s="10"/>
      <c r="ODL63" s="10"/>
      <c r="ODM63" s="10"/>
      <c r="ODN63" s="10"/>
      <c r="ODO63" s="10"/>
      <c r="ODP63" s="10"/>
      <c r="ODQ63" s="10"/>
      <c r="ODR63" s="10"/>
      <c r="ODS63" s="10"/>
      <c r="ODT63" s="10"/>
      <c r="ODU63" s="10"/>
      <c r="ODV63" s="10"/>
      <c r="ODW63" s="10"/>
      <c r="ODX63" s="10"/>
      <c r="ODY63" s="10"/>
      <c r="ODZ63" s="10"/>
      <c r="OEA63" s="10"/>
      <c r="OEB63" s="10"/>
      <c r="OEC63" s="10"/>
      <c r="OED63" s="10"/>
      <c r="OEE63" s="10"/>
      <c r="OEF63" s="10"/>
      <c r="OEG63" s="10"/>
      <c r="OEH63" s="10"/>
      <c r="OEI63" s="10"/>
      <c r="OEJ63" s="10"/>
      <c r="OEK63" s="10"/>
      <c r="OEL63" s="10"/>
      <c r="OEM63" s="10"/>
      <c r="OEN63" s="10"/>
      <c r="OEO63" s="10"/>
      <c r="OEP63" s="10"/>
      <c r="OEQ63" s="10"/>
      <c r="OER63" s="10"/>
      <c r="OES63" s="10"/>
      <c r="OET63" s="10"/>
      <c r="OEU63" s="10"/>
      <c r="OEV63" s="10"/>
      <c r="OEW63" s="10"/>
      <c r="OEX63" s="10"/>
      <c r="OEY63" s="10"/>
      <c r="OEZ63" s="10"/>
      <c r="OFA63" s="10"/>
      <c r="OFB63" s="10"/>
      <c r="OFC63" s="10"/>
      <c r="OFD63" s="10"/>
      <c r="OFE63" s="10"/>
      <c r="OFF63" s="10"/>
      <c r="OFG63" s="10"/>
      <c r="OFH63" s="10"/>
      <c r="OFI63" s="10"/>
      <c r="OFJ63" s="10"/>
      <c r="OFK63" s="10"/>
      <c r="OFL63" s="10"/>
      <c r="OFM63" s="10"/>
      <c r="OFN63" s="10"/>
      <c r="OFO63" s="10"/>
      <c r="OFP63" s="10"/>
      <c r="OFQ63" s="10"/>
      <c r="OFR63" s="10"/>
      <c r="OFS63" s="10"/>
      <c r="OFT63" s="10"/>
      <c r="OFU63" s="10"/>
      <c r="OFV63" s="10"/>
      <c r="OFW63" s="10"/>
      <c r="OFX63" s="10"/>
      <c r="OFY63" s="10"/>
      <c r="OFZ63" s="10"/>
      <c r="OGA63" s="10"/>
      <c r="OGB63" s="10"/>
      <c r="OGC63" s="10"/>
      <c r="OGD63" s="10"/>
      <c r="OGE63" s="10"/>
      <c r="OGF63" s="10"/>
      <c r="OGG63" s="10"/>
      <c r="OGH63" s="10"/>
      <c r="OGI63" s="10"/>
      <c r="OGJ63" s="10"/>
      <c r="OGK63" s="10"/>
      <c r="OGL63" s="10"/>
      <c r="OGM63" s="10"/>
      <c r="OGN63" s="10"/>
      <c r="OGO63" s="10"/>
      <c r="OGP63" s="10"/>
      <c r="OGQ63" s="10"/>
      <c r="OGR63" s="10"/>
      <c r="OGS63" s="10"/>
      <c r="OGT63" s="10"/>
      <c r="OGU63" s="10"/>
      <c r="OGV63" s="10"/>
      <c r="OGW63" s="10"/>
      <c r="OGX63" s="10"/>
      <c r="OGY63" s="10"/>
      <c r="OGZ63" s="10"/>
      <c r="OHA63" s="10"/>
      <c r="OHB63" s="10"/>
      <c r="OHC63" s="10"/>
      <c r="OHD63" s="10"/>
      <c r="OHE63" s="10"/>
      <c r="OHF63" s="10"/>
      <c r="OHG63" s="10"/>
      <c r="OHH63" s="10"/>
      <c r="OHI63" s="10"/>
      <c r="OHJ63" s="10"/>
      <c r="OHK63" s="10"/>
      <c r="OHL63" s="10"/>
      <c r="OHM63" s="10"/>
      <c r="OHN63" s="10"/>
      <c r="OHO63" s="10"/>
      <c r="OHP63" s="10"/>
      <c r="OHQ63" s="10"/>
      <c r="OHR63" s="10"/>
      <c r="OHS63" s="10"/>
      <c r="OHT63" s="10"/>
      <c r="OHU63" s="10"/>
      <c r="OHV63" s="10"/>
      <c r="OHW63" s="10"/>
      <c r="OHX63" s="10"/>
      <c r="OHY63" s="10"/>
      <c r="OHZ63" s="10"/>
      <c r="OIA63" s="10"/>
      <c r="OIB63" s="10"/>
      <c r="OIC63" s="10"/>
      <c r="OID63" s="10"/>
      <c r="OIE63" s="10"/>
      <c r="OIF63" s="10"/>
      <c r="OIG63" s="10"/>
      <c r="OIH63" s="10"/>
      <c r="OII63" s="10"/>
      <c r="OIJ63" s="10"/>
      <c r="OIK63" s="10"/>
      <c r="OIL63" s="10"/>
      <c r="OIM63" s="10"/>
      <c r="OIN63" s="10"/>
      <c r="OIO63" s="10"/>
      <c r="OIP63" s="10"/>
      <c r="OIQ63" s="10"/>
      <c r="OIR63" s="10"/>
      <c r="OIS63" s="10"/>
      <c r="OIT63" s="10"/>
      <c r="OIU63" s="10"/>
      <c r="OIV63" s="10"/>
      <c r="OIW63" s="10"/>
      <c r="OIX63" s="10"/>
      <c r="OIY63" s="10"/>
      <c r="OIZ63" s="10"/>
      <c r="OJA63" s="10"/>
      <c r="OJB63" s="10"/>
      <c r="OJC63" s="10"/>
      <c r="OJD63" s="10"/>
      <c r="OJE63" s="10"/>
      <c r="OJF63" s="10"/>
      <c r="OJG63" s="10"/>
      <c r="OJH63" s="10"/>
      <c r="OJI63" s="10"/>
      <c r="OJJ63" s="10"/>
      <c r="OJK63" s="10"/>
      <c r="OJL63" s="10"/>
      <c r="OJM63" s="10"/>
      <c r="OJN63" s="10"/>
      <c r="OJO63" s="10"/>
      <c r="OJP63" s="10"/>
      <c r="OJQ63" s="10"/>
      <c r="OJR63" s="10"/>
      <c r="OJS63" s="10"/>
      <c r="OJT63" s="10"/>
      <c r="OJU63" s="10"/>
      <c r="OJV63" s="10"/>
      <c r="OJW63" s="10"/>
      <c r="OJX63" s="10"/>
      <c r="OJY63" s="10"/>
      <c r="OJZ63" s="10"/>
      <c r="OKA63" s="10"/>
      <c r="OKB63" s="10"/>
      <c r="OKC63" s="10"/>
      <c r="OKD63" s="10"/>
      <c r="OKE63" s="10"/>
      <c r="OKF63" s="10"/>
      <c r="OKG63" s="10"/>
      <c r="OKH63" s="10"/>
      <c r="OKI63" s="10"/>
      <c r="OKJ63" s="10"/>
      <c r="OKK63" s="10"/>
      <c r="OKL63" s="10"/>
      <c r="OKM63" s="10"/>
      <c r="OKN63" s="10"/>
      <c r="OKO63" s="10"/>
      <c r="OKP63" s="10"/>
      <c r="OKQ63" s="10"/>
      <c r="OKR63" s="10"/>
      <c r="OKS63" s="10"/>
      <c r="OKT63" s="10"/>
      <c r="OKU63" s="10"/>
      <c r="OKV63" s="10"/>
      <c r="OKW63" s="10"/>
      <c r="OKX63" s="10"/>
      <c r="OKY63" s="10"/>
      <c r="OKZ63" s="10"/>
      <c r="OLA63" s="10"/>
      <c r="OLB63" s="10"/>
      <c r="OLC63" s="10"/>
      <c r="OLD63" s="10"/>
      <c r="OLE63" s="10"/>
      <c r="OLF63" s="10"/>
      <c r="OLG63" s="10"/>
      <c r="OLH63" s="10"/>
      <c r="OLI63" s="10"/>
      <c r="OLJ63" s="10"/>
      <c r="OLK63" s="10"/>
      <c r="OLL63" s="10"/>
      <c r="OLM63" s="10"/>
      <c r="OLN63" s="10"/>
      <c r="OLO63" s="10"/>
      <c r="OLP63" s="10"/>
      <c r="OLQ63" s="10"/>
      <c r="OLR63" s="10"/>
      <c r="OLS63" s="10"/>
      <c r="OLT63" s="10"/>
      <c r="OLU63" s="10"/>
      <c r="OLV63" s="10"/>
      <c r="OLW63" s="10"/>
      <c r="OLX63" s="10"/>
      <c r="OLY63" s="10"/>
      <c r="OLZ63" s="10"/>
      <c r="OMA63" s="10"/>
      <c r="OMB63" s="10"/>
      <c r="OMC63" s="10"/>
      <c r="OMD63" s="10"/>
      <c r="OME63" s="10"/>
      <c r="OMF63" s="10"/>
      <c r="OMG63" s="10"/>
      <c r="OMH63" s="10"/>
      <c r="OMI63" s="10"/>
      <c r="OMJ63" s="10"/>
      <c r="OMK63" s="10"/>
      <c r="OML63" s="10"/>
      <c r="OMM63" s="10"/>
      <c r="OMN63" s="10"/>
      <c r="OMO63" s="10"/>
      <c r="OMP63" s="10"/>
      <c r="OMQ63" s="10"/>
      <c r="OMR63" s="10"/>
      <c r="OMS63" s="10"/>
      <c r="OMT63" s="10"/>
      <c r="OMU63" s="10"/>
      <c r="OMV63" s="10"/>
      <c r="OMW63" s="10"/>
      <c r="OMX63" s="10"/>
      <c r="OMY63" s="10"/>
      <c r="OMZ63" s="10"/>
      <c r="ONA63" s="10"/>
      <c r="ONB63" s="10"/>
      <c r="ONC63" s="10"/>
      <c r="OND63" s="10"/>
      <c r="ONE63" s="10"/>
      <c r="ONF63" s="10"/>
      <c r="ONG63" s="10"/>
      <c r="ONH63" s="10"/>
      <c r="ONI63" s="10"/>
      <c r="ONJ63" s="10"/>
      <c r="ONK63" s="10"/>
      <c r="ONL63" s="10"/>
      <c r="ONM63" s="10"/>
      <c r="ONN63" s="10"/>
      <c r="ONO63" s="10"/>
      <c r="ONP63" s="10"/>
      <c r="ONQ63" s="10"/>
      <c r="ONR63" s="10"/>
      <c r="ONS63" s="10"/>
      <c r="ONT63" s="10"/>
      <c r="ONU63" s="10"/>
      <c r="ONV63" s="10"/>
      <c r="ONW63" s="10"/>
      <c r="ONX63" s="10"/>
      <c r="ONY63" s="10"/>
      <c r="ONZ63" s="10"/>
      <c r="OOA63" s="10"/>
      <c r="OOB63" s="10"/>
      <c r="OOC63" s="10"/>
      <c r="OOD63" s="10"/>
      <c r="OOE63" s="10"/>
      <c r="OOF63" s="10"/>
      <c r="OOG63" s="10"/>
      <c r="OOH63" s="10"/>
      <c r="OOI63" s="10"/>
      <c r="OOJ63" s="10"/>
      <c r="OOK63" s="10"/>
      <c r="OOL63" s="10"/>
      <c r="OOM63" s="10"/>
      <c r="OON63" s="10"/>
      <c r="OOO63" s="10"/>
      <c r="OOP63" s="10"/>
      <c r="OOQ63" s="10"/>
      <c r="OOR63" s="10"/>
      <c r="OOS63" s="10"/>
      <c r="OOT63" s="10"/>
      <c r="OOU63" s="10"/>
      <c r="OOV63" s="10"/>
      <c r="OOW63" s="10"/>
      <c r="OOX63" s="10"/>
      <c r="OOY63" s="10"/>
      <c r="OOZ63" s="10"/>
      <c r="OPA63" s="10"/>
      <c r="OPB63" s="10"/>
      <c r="OPC63" s="10"/>
      <c r="OPD63" s="10"/>
      <c r="OPE63" s="10"/>
      <c r="OPF63" s="10"/>
      <c r="OPG63" s="10"/>
      <c r="OPH63" s="10"/>
      <c r="OPI63" s="10"/>
      <c r="OPJ63" s="10"/>
      <c r="OPK63" s="10"/>
      <c r="OPL63" s="10"/>
      <c r="OPM63" s="10"/>
      <c r="OPN63" s="10"/>
      <c r="OPO63" s="10"/>
      <c r="OPP63" s="10"/>
      <c r="OPQ63" s="10"/>
      <c r="OPR63" s="10"/>
      <c r="OPS63" s="10"/>
      <c r="OPT63" s="10"/>
      <c r="OPU63" s="10"/>
      <c r="OPV63" s="10"/>
      <c r="OPW63" s="10"/>
      <c r="OPX63" s="10"/>
      <c r="OPY63" s="10"/>
      <c r="OPZ63" s="10"/>
      <c r="OQA63" s="10"/>
      <c r="OQB63" s="10"/>
      <c r="OQC63" s="10"/>
      <c r="OQD63" s="10"/>
      <c r="OQE63" s="10"/>
      <c r="OQF63" s="10"/>
      <c r="OQG63" s="10"/>
      <c r="OQH63" s="10"/>
      <c r="OQI63" s="10"/>
      <c r="OQJ63" s="10"/>
      <c r="OQK63" s="10"/>
      <c r="OQL63" s="10"/>
      <c r="OQM63" s="10"/>
      <c r="OQN63" s="10"/>
      <c r="OQO63" s="10"/>
      <c r="OQP63" s="10"/>
      <c r="OQQ63" s="10"/>
      <c r="OQR63" s="10"/>
      <c r="OQS63" s="10"/>
      <c r="OQT63" s="10"/>
      <c r="OQU63" s="10"/>
      <c r="OQV63" s="10"/>
      <c r="OQW63" s="10"/>
      <c r="OQX63" s="10"/>
      <c r="OQY63" s="10"/>
      <c r="OQZ63" s="10"/>
      <c r="ORA63" s="10"/>
      <c r="ORB63" s="10"/>
      <c r="ORC63" s="10"/>
      <c r="ORD63" s="10"/>
      <c r="ORE63" s="10"/>
      <c r="ORF63" s="10"/>
      <c r="ORG63" s="10"/>
      <c r="ORH63" s="10"/>
      <c r="ORI63" s="10"/>
      <c r="ORJ63" s="10"/>
      <c r="ORK63" s="10"/>
      <c r="ORL63" s="10"/>
      <c r="ORM63" s="10"/>
      <c r="ORN63" s="10"/>
      <c r="ORO63" s="10"/>
      <c r="ORP63" s="10"/>
      <c r="ORQ63" s="10"/>
      <c r="ORR63" s="10"/>
      <c r="ORS63" s="10"/>
      <c r="ORT63" s="10"/>
      <c r="ORU63" s="10"/>
      <c r="ORV63" s="10"/>
      <c r="ORW63" s="10"/>
      <c r="ORX63" s="10"/>
      <c r="ORY63" s="10"/>
      <c r="ORZ63" s="10"/>
      <c r="OSA63" s="10"/>
      <c r="OSB63" s="10"/>
      <c r="OSC63" s="10"/>
      <c r="OSD63" s="10"/>
      <c r="OSE63" s="10"/>
      <c r="OSF63" s="10"/>
      <c r="OSG63" s="10"/>
      <c r="OSH63" s="10"/>
      <c r="OSI63" s="10"/>
      <c r="OSJ63" s="10"/>
      <c r="OSK63" s="10"/>
      <c r="OSL63" s="10"/>
      <c r="OSM63" s="10"/>
      <c r="OSN63" s="10"/>
      <c r="OSO63" s="10"/>
      <c r="OSP63" s="10"/>
      <c r="OSQ63" s="10"/>
      <c r="OSR63" s="10"/>
      <c r="OSS63" s="10"/>
      <c r="OST63" s="10"/>
      <c r="OSU63" s="10"/>
      <c r="OSV63" s="10"/>
      <c r="OSW63" s="10"/>
      <c r="OSX63" s="10"/>
      <c r="OSY63" s="10"/>
      <c r="OSZ63" s="10"/>
      <c r="OTA63" s="10"/>
      <c r="OTB63" s="10"/>
      <c r="OTC63" s="10"/>
      <c r="OTD63" s="10"/>
      <c r="OTE63" s="10"/>
      <c r="OTF63" s="10"/>
      <c r="OTG63" s="10"/>
      <c r="OTH63" s="10"/>
      <c r="OTI63" s="10"/>
      <c r="OTJ63" s="10"/>
      <c r="OTK63" s="10"/>
      <c r="OTL63" s="10"/>
      <c r="OTM63" s="10"/>
      <c r="OTN63" s="10"/>
      <c r="OTO63" s="10"/>
      <c r="OTP63" s="10"/>
      <c r="OTQ63" s="10"/>
      <c r="OTR63" s="10"/>
      <c r="OTS63" s="10"/>
      <c r="OTT63" s="10"/>
      <c r="OTU63" s="10"/>
      <c r="OTV63" s="10"/>
      <c r="OTW63" s="10"/>
      <c r="OTX63" s="10"/>
      <c r="OTY63" s="10"/>
      <c r="OTZ63" s="10"/>
      <c r="OUA63" s="10"/>
      <c r="OUB63" s="10"/>
      <c r="OUC63" s="10"/>
      <c r="OUD63" s="10"/>
      <c r="OUE63" s="10"/>
      <c r="OUF63" s="10"/>
      <c r="OUG63" s="10"/>
      <c r="OUH63" s="10"/>
      <c r="OUI63" s="10"/>
      <c r="OUJ63" s="10"/>
      <c r="OUK63" s="10"/>
      <c r="OUL63" s="10"/>
      <c r="OUM63" s="10"/>
      <c r="OUN63" s="10"/>
      <c r="OUO63" s="10"/>
      <c r="OUP63" s="10"/>
      <c r="OUQ63" s="10"/>
      <c r="OUR63" s="10"/>
      <c r="OUS63" s="10"/>
      <c r="OUT63" s="10"/>
      <c r="OUU63" s="10"/>
      <c r="OUV63" s="10"/>
      <c r="OUW63" s="10"/>
      <c r="OUX63" s="10"/>
      <c r="OUY63" s="10"/>
      <c r="OUZ63" s="10"/>
      <c r="OVA63" s="10"/>
      <c r="OVB63" s="10"/>
      <c r="OVC63" s="10"/>
      <c r="OVD63" s="10"/>
      <c r="OVE63" s="10"/>
      <c r="OVF63" s="10"/>
      <c r="OVG63" s="10"/>
      <c r="OVH63" s="10"/>
      <c r="OVI63" s="10"/>
      <c r="OVJ63" s="10"/>
      <c r="OVK63" s="10"/>
      <c r="OVL63" s="10"/>
      <c r="OVM63" s="10"/>
      <c r="OVN63" s="10"/>
      <c r="OVO63" s="10"/>
      <c r="OVP63" s="10"/>
      <c r="OVQ63" s="10"/>
      <c r="OVR63" s="10"/>
      <c r="OVS63" s="10"/>
      <c r="OVT63" s="10"/>
      <c r="OVU63" s="10"/>
      <c r="OVV63" s="10"/>
      <c r="OVW63" s="10"/>
      <c r="OVX63" s="10"/>
      <c r="OVY63" s="10"/>
      <c r="OVZ63" s="10"/>
      <c r="OWA63" s="10"/>
      <c r="OWB63" s="10"/>
      <c r="OWC63" s="10"/>
      <c r="OWD63" s="10"/>
      <c r="OWE63" s="10"/>
      <c r="OWF63" s="10"/>
      <c r="OWG63" s="10"/>
      <c r="OWH63" s="10"/>
      <c r="OWI63" s="10"/>
      <c r="OWJ63" s="10"/>
      <c r="OWK63" s="10"/>
      <c r="OWL63" s="10"/>
      <c r="OWM63" s="10"/>
      <c r="OWN63" s="10"/>
      <c r="OWO63" s="10"/>
      <c r="OWP63" s="10"/>
      <c r="OWQ63" s="10"/>
      <c r="OWR63" s="10"/>
      <c r="OWS63" s="10"/>
      <c r="OWT63" s="10"/>
      <c r="OWU63" s="10"/>
      <c r="OWV63" s="10"/>
      <c r="OWW63" s="10"/>
      <c r="OWX63" s="10"/>
      <c r="OWY63" s="10"/>
      <c r="OWZ63" s="10"/>
      <c r="OXA63" s="10"/>
      <c r="OXB63" s="10"/>
      <c r="OXC63" s="10"/>
      <c r="OXD63" s="10"/>
      <c r="OXE63" s="10"/>
      <c r="OXF63" s="10"/>
      <c r="OXG63" s="10"/>
      <c r="OXH63" s="10"/>
      <c r="OXI63" s="10"/>
      <c r="OXJ63" s="10"/>
      <c r="OXK63" s="10"/>
      <c r="OXL63" s="10"/>
      <c r="OXM63" s="10"/>
      <c r="OXN63" s="10"/>
      <c r="OXO63" s="10"/>
      <c r="OXP63" s="10"/>
      <c r="OXQ63" s="10"/>
      <c r="OXR63" s="10"/>
      <c r="OXS63" s="10"/>
      <c r="OXT63" s="10"/>
      <c r="OXU63" s="10"/>
      <c r="OXV63" s="10"/>
      <c r="OXW63" s="10"/>
      <c r="OXX63" s="10"/>
      <c r="OXY63" s="10"/>
      <c r="OXZ63" s="10"/>
      <c r="OYA63" s="10"/>
      <c r="OYB63" s="10"/>
      <c r="OYC63" s="10"/>
      <c r="OYD63" s="10"/>
      <c r="OYE63" s="10"/>
      <c r="OYF63" s="10"/>
      <c r="OYG63" s="10"/>
      <c r="OYH63" s="10"/>
      <c r="OYI63" s="10"/>
      <c r="OYJ63" s="10"/>
      <c r="OYK63" s="10"/>
      <c r="OYL63" s="10"/>
      <c r="OYM63" s="10"/>
      <c r="OYN63" s="10"/>
      <c r="OYO63" s="10"/>
      <c r="OYP63" s="10"/>
      <c r="OYQ63" s="10"/>
      <c r="OYR63" s="10"/>
      <c r="OYS63" s="10"/>
      <c r="OYT63" s="10"/>
      <c r="OYU63" s="10"/>
      <c r="OYV63" s="10"/>
      <c r="OYW63" s="10"/>
      <c r="OYX63" s="10"/>
      <c r="OYY63" s="10"/>
      <c r="OYZ63" s="10"/>
      <c r="OZA63" s="10"/>
      <c r="OZB63" s="10"/>
      <c r="OZC63" s="10"/>
      <c r="OZD63" s="10"/>
      <c r="OZE63" s="10"/>
      <c r="OZF63" s="10"/>
      <c r="OZG63" s="10"/>
      <c r="OZH63" s="10"/>
      <c r="OZI63" s="10"/>
      <c r="OZJ63" s="10"/>
      <c r="OZK63" s="10"/>
      <c r="OZL63" s="10"/>
      <c r="OZM63" s="10"/>
      <c r="OZN63" s="10"/>
      <c r="OZO63" s="10"/>
      <c r="OZP63" s="10"/>
      <c r="OZQ63" s="10"/>
      <c r="OZR63" s="10"/>
      <c r="OZS63" s="10"/>
      <c r="OZT63" s="10"/>
      <c r="OZU63" s="10"/>
      <c r="OZV63" s="10"/>
      <c r="OZW63" s="10"/>
      <c r="OZX63" s="10"/>
      <c r="OZY63" s="10"/>
      <c r="OZZ63" s="10"/>
      <c r="PAA63" s="10"/>
      <c r="PAB63" s="10"/>
      <c r="PAC63" s="10"/>
      <c r="PAD63" s="10"/>
      <c r="PAE63" s="10"/>
      <c r="PAF63" s="10"/>
      <c r="PAG63" s="10"/>
      <c r="PAH63" s="10"/>
      <c r="PAI63" s="10"/>
      <c r="PAJ63" s="10"/>
      <c r="PAK63" s="10"/>
      <c r="PAL63" s="10"/>
      <c r="PAM63" s="10"/>
      <c r="PAN63" s="10"/>
      <c r="PAO63" s="10"/>
      <c r="PAP63" s="10"/>
      <c r="PAQ63" s="10"/>
      <c r="PAR63" s="10"/>
      <c r="PAS63" s="10"/>
      <c r="PAT63" s="10"/>
      <c r="PAU63" s="10"/>
      <c r="PAV63" s="10"/>
      <c r="PAW63" s="10"/>
      <c r="PAX63" s="10"/>
      <c r="PAY63" s="10"/>
      <c r="PAZ63" s="10"/>
      <c r="PBA63" s="10"/>
      <c r="PBB63" s="10"/>
      <c r="PBC63" s="10"/>
      <c r="PBD63" s="10"/>
      <c r="PBE63" s="10"/>
      <c r="PBF63" s="10"/>
      <c r="PBG63" s="10"/>
      <c r="PBH63" s="10"/>
      <c r="PBI63" s="10"/>
      <c r="PBJ63" s="10"/>
      <c r="PBK63" s="10"/>
      <c r="PBL63" s="10"/>
      <c r="PBM63" s="10"/>
      <c r="PBN63" s="10"/>
      <c r="PBO63" s="10"/>
      <c r="PBP63" s="10"/>
      <c r="PBQ63" s="10"/>
      <c r="PBR63" s="10"/>
      <c r="PBS63" s="10"/>
      <c r="PBT63" s="10"/>
      <c r="PBU63" s="10"/>
      <c r="PBV63" s="10"/>
      <c r="PBW63" s="10"/>
      <c r="PBX63" s="10"/>
      <c r="PBY63" s="10"/>
      <c r="PBZ63" s="10"/>
      <c r="PCA63" s="10"/>
      <c r="PCB63" s="10"/>
      <c r="PCC63" s="10"/>
      <c r="PCD63" s="10"/>
      <c r="PCE63" s="10"/>
      <c r="PCF63" s="10"/>
      <c r="PCG63" s="10"/>
      <c r="PCH63" s="10"/>
      <c r="PCI63" s="10"/>
      <c r="PCJ63" s="10"/>
      <c r="PCK63" s="10"/>
      <c r="PCL63" s="10"/>
      <c r="PCM63" s="10"/>
      <c r="PCN63" s="10"/>
      <c r="PCO63" s="10"/>
      <c r="PCP63" s="10"/>
      <c r="PCQ63" s="10"/>
      <c r="PCR63" s="10"/>
      <c r="PCS63" s="10"/>
      <c r="PCT63" s="10"/>
      <c r="PCU63" s="10"/>
      <c r="PCV63" s="10"/>
      <c r="PCW63" s="10"/>
      <c r="PCX63" s="10"/>
      <c r="PCY63" s="10"/>
      <c r="PCZ63" s="10"/>
      <c r="PDA63" s="10"/>
      <c r="PDB63" s="10"/>
      <c r="PDC63" s="10"/>
      <c r="PDD63" s="10"/>
      <c r="PDE63" s="10"/>
      <c r="PDF63" s="10"/>
      <c r="PDG63" s="10"/>
      <c r="PDH63" s="10"/>
      <c r="PDI63" s="10"/>
      <c r="PDJ63" s="10"/>
      <c r="PDK63" s="10"/>
      <c r="PDL63" s="10"/>
      <c r="PDM63" s="10"/>
      <c r="PDN63" s="10"/>
      <c r="PDO63" s="10"/>
      <c r="PDP63" s="10"/>
      <c r="PDQ63" s="10"/>
      <c r="PDR63" s="10"/>
      <c r="PDS63" s="10"/>
      <c r="PDT63" s="10"/>
      <c r="PDU63" s="10"/>
      <c r="PDV63" s="10"/>
      <c r="PDW63" s="10"/>
      <c r="PDX63" s="10"/>
      <c r="PDY63" s="10"/>
      <c r="PDZ63" s="10"/>
      <c r="PEA63" s="10"/>
      <c r="PEB63" s="10"/>
      <c r="PEC63" s="10"/>
      <c r="PED63" s="10"/>
      <c r="PEE63" s="10"/>
      <c r="PEF63" s="10"/>
      <c r="PEG63" s="10"/>
      <c r="PEH63" s="10"/>
      <c r="PEI63" s="10"/>
      <c r="PEJ63" s="10"/>
      <c r="PEK63" s="10"/>
      <c r="PEL63" s="10"/>
      <c r="PEM63" s="10"/>
      <c r="PEN63" s="10"/>
      <c r="PEO63" s="10"/>
      <c r="PEP63" s="10"/>
      <c r="PEQ63" s="10"/>
      <c r="PER63" s="10"/>
      <c r="PES63" s="10"/>
      <c r="PET63" s="10"/>
      <c r="PEU63" s="10"/>
      <c r="PEV63" s="10"/>
      <c r="PEW63" s="10"/>
      <c r="PEX63" s="10"/>
      <c r="PEY63" s="10"/>
      <c r="PEZ63" s="10"/>
      <c r="PFA63" s="10"/>
      <c r="PFB63" s="10"/>
      <c r="PFC63" s="10"/>
      <c r="PFD63" s="10"/>
      <c r="PFE63" s="10"/>
      <c r="PFF63" s="10"/>
      <c r="PFG63" s="10"/>
      <c r="PFH63" s="10"/>
      <c r="PFI63" s="10"/>
      <c r="PFJ63" s="10"/>
      <c r="PFK63" s="10"/>
      <c r="PFL63" s="10"/>
      <c r="PFM63" s="10"/>
      <c r="PFN63" s="10"/>
      <c r="PFO63" s="10"/>
      <c r="PFP63" s="10"/>
      <c r="PFQ63" s="10"/>
      <c r="PFR63" s="10"/>
      <c r="PFS63" s="10"/>
      <c r="PFT63" s="10"/>
      <c r="PFU63" s="10"/>
      <c r="PFV63" s="10"/>
      <c r="PFW63" s="10"/>
      <c r="PFX63" s="10"/>
      <c r="PFY63" s="10"/>
      <c r="PFZ63" s="10"/>
      <c r="PGA63" s="10"/>
      <c r="PGB63" s="10"/>
      <c r="PGC63" s="10"/>
      <c r="PGD63" s="10"/>
      <c r="PGE63" s="10"/>
      <c r="PGF63" s="10"/>
      <c r="PGG63" s="10"/>
      <c r="PGH63" s="10"/>
      <c r="PGI63" s="10"/>
      <c r="PGJ63" s="10"/>
      <c r="PGK63" s="10"/>
      <c r="PGL63" s="10"/>
      <c r="PGM63" s="10"/>
      <c r="PGN63" s="10"/>
      <c r="PGO63" s="10"/>
      <c r="PGP63" s="10"/>
      <c r="PGQ63" s="10"/>
      <c r="PGR63" s="10"/>
      <c r="PGS63" s="10"/>
      <c r="PGT63" s="10"/>
      <c r="PGU63" s="10"/>
      <c r="PGV63" s="10"/>
      <c r="PGW63" s="10"/>
      <c r="PGX63" s="10"/>
      <c r="PGY63" s="10"/>
      <c r="PGZ63" s="10"/>
      <c r="PHA63" s="10"/>
      <c r="PHB63" s="10"/>
      <c r="PHC63" s="10"/>
      <c r="PHD63" s="10"/>
      <c r="PHE63" s="10"/>
      <c r="PHF63" s="10"/>
      <c r="PHG63" s="10"/>
      <c r="PHH63" s="10"/>
      <c r="PHI63" s="10"/>
      <c r="PHJ63" s="10"/>
      <c r="PHK63" s="10"/>
      <c r="PHL63" s="10"/>
      <c r="PHM63" s="10"/>
      <c r="PHN63" s="10"/>
      <c r="PHO63" s="10"/>
      <c r="PHP63" s="10"/>
      <c r="PHQ63" s="10"/>
      <c r="PHR63" s="10"/>
      <c r="PHS63" s="10"/>
      <c r="PHT63" s="10"/>
      <c r="PHU63" s="10"/>
      <c r="PHV63" s="10"/>
      <c r="PHW63" s="10"/>
      <c r="PHX63" s="10"/>
      <c r="PHY63" s="10"/>
      <c r="PHZ63" s="10"/>
      <c r="PIA63" s="10"/>
      <c r="PIB63" s="10"/>
      <c r="PIC63" s="10"/>
      <c r="PID63" s="10"/>
      <c r="PIE63" s="10"/>
      <c r="PIF63" s="10"/>
      <c r="PIG63" s="10"/>
      <c r="PIH63" s="10"/>
      <c r="PII63" s="10"/>
      <c r="PIJ63" s="10"/>
      <c r="PIK63" s="10"/>
      <c r="PIL63" s="10"/>
      <c r="PIM63" s="10"/>
      <c r="PIN63" s="10"/>
      <c r="PIO63" s="10"/>
      <c r="PIP63" s="10"/>
      <c r="PIQ63" s="10"/>
      <c r="PIR63" s="10"/>
      <c r="PIS63" s="10"/>
      <c r="PIT63" s="10"/>
      <c r="PIU63" s="10"/>
      <c r="PIV63" s="10"/>
      <c r="PIW63" s="10"/>
      <c r="PIX63" s="10"/>
      <c r="PIY63" s="10"/>
      <c r="PIZ63" s="10"/>
      <c r="PJA63" s="10"/>
      <c r="PJB63" s="10"/>
      <c r="PJC63" s="10"/>
      <c r="PJD63" s="10"/>
      <c r="PJE63" s="10"/>
      <c r="PJF63" s="10"/>
      <c r="PJG63" s="10"/>
      <c r="PJH63" s="10"/>
      <c r="PJI63" s="10"/>
      <c r="PJJ63" s="10"/>
      <c r="PJK63" s="10"/>
      <c r="PJL63" s="10"/>
      <c r="PJM63" s="10"/>
      <c r="PJN63" s="10"/>
      <c r="PJO63" s="10"/>
      <c r="PJP63" s="10"/>
      <c r="PJQ63" s="10"/>
      <c r="PJR63" s="10"/>
      <c r="PJS63" s="10"/>
      <c r="PJT63" s="10"/>
      <c r="PJU63" s="10"/>
      <c r="PJV63" s="10"/>
      <c r="PJW63" s="10"/>
      <c r="PJX63" s="10"/>
      <c r="PJY63" s="10"/>
      <c r="PJZ63" s="10"/>
      <c r="PKA63" s="10"/>
      <c r="PKB63" s="10"/>
      <c r="PKC63" s="10"/>
      <c r="PKD63" s="10"/>
      <c r="PKE63" s="10"/>
      <c r="PKF63" s="10"/>
      <c r="PKG63" s="10"/>
      <c r="PKH63" s="10"/>
      <c r="PKI63" s="10"/>
      <c r="PKJ63" s="10"/>
      <c r="PKK63" s="10"/>
      <c r="PKL63" s="10"/>
      <c r="PKM63" s="10"/>
      <c r="PKN63" s="10"/>
      <c r="PKO63" s="10"/>
      <c r="PKP63" s="10"/>
      <c r="PKQ63" s="10"/>
      <c r="PKR63" s="10"/>
      <c r="PKS63" s="10"/>
      <c r="PKT63" s="10"/>
      <c r="PKU63" s="10"/>
      <c r="PKV63" s="10"/>
      <c r="PKW63" s="10"/>
      <c r="PKX63" s="10"/>
      <c r="PKY63" s="10"/>
      <c r="PKZ63" s="10"/>
      <c r="PLA63" s="10"/>
      <c r="PLB63" s="10"/>
      <c r="PLC63" s="10"/>
      <c r="PLD63" s="10"/>
      <c r="PLE63" s="10"/>
      <c r="PLF63" s="10"/>
      <c r="PLG63" s="10"/>
      <c r="PLH63" s="10"/>
      <c r="PLI63" s="10"/>
      <c r="PLJ63" s="10"/>
      <c r="PLK63" s="10"/>
      <c r="PLL63" s="10"/>
      <c r="PLM63" s="10"/>
      <c r="PLN63" s="10"/>
      <c r="PLO63" s="10"/>
      <c r="PLP63" s="10"/>
      <c r="PLQ63" s="10"/>
      <c r="PLR63" s="10"/>
      <c r="PLS63" s="10"/>
      <c r="PLT63" s="10"/>
      <c r="PLU63" s="10"/>
      <c r="PLV63" s="10"/>
      <c r="PLW63" s="10"/>
      <c r="PLX63" s="10"/>
      <c r="PLY63" s="10"/>
      <c r="PLZ63" s="10"/>
      <c r="PMA63" s="10"/>
      <c r="PMB63" s="10"/>
      <c r="PMC63" s="10"/>
      <c r="PMD63" s="10"/>
      <c r="PME63" s="10"/>
      <c r="PMF63" s="10"/>
      <c r="PMG63" s="10"/>
      <c r="PMH63" s="10"/>
      <c r="PMI63" s="10"/>
      <c r="PMJ63" s="10"/>
      <c r="PMK63" s="10"/>
      <c r="PML63" s="10"/>
      <c r="PMM63" s="10"/>
      <c r="PMN63" s="10"/>
      <c r="PMO63" s="10"/>
      <c r="PMP63" s="10"/>
      <c r="PMQ63" s="10"/>
      <c r="PMR63" s="10"/>
      <c r="PMS63" s="10"/>
      <c r="PMT63" s="10"/>
      <c r="PMU63" s="10"/>
      <c r="PMV63" s="10"/>
      <c r="PMW63" s="10"/>
      <c r="PMX63" s="10"/>
      <c r="PMY63" s="10"/>
      <c r="PMZ63" s="10"/>
      <c r="PNA63" s="10"/>
      <c r="PNB63" s="10"/>
      <c r="PNC63" s="10"/>
      <c r="PND63" s="10"/>
      <c r="PNE63" s="10"/>
      <c r="PNF63" s="10"/>
      <c r="PNG63" s="10"/>
      <c r="PNH63" s="10"/>
      <c r="PNI63" s="10"/>
      <c r="PNJ63" s="10"/>
      <c r="PNK63" s="10"/>
      <c r="PNL63" s="10"/>
      <c r="PNM63" s="10"/>
      <c r="PNN63" s="10"/>
      <c r="PNO63" s="10"/>
      <c r="PNP63" s="10"/>
      <c r="PNQ63" s="10"/>
      <c r="PNR63" s="10"/>
      <c r="PNS63" s="10"/>
      <c r="PNT63" s="10"/>
      <c r="PNU63" s="10"/>
      <c r="PNV63" s="10"/>
      <c r="PNW63" s="10"/>
      <c r="PNX63" s="10"/>
      <c r="PNY63" s="10"/>
      <c r="PNZ63" s="10"/>
      <c r="POA63" s="10"/>
      <c r="POB63" s="10"/>
      <c r="POC63" s="10"/>
      <c r="POD63" s="10"/>
      <c r="POE63" s="10"/>
      <c r="POF63" s="10"/>
      <c r="POG63" s="10"/>
      <c r="POH63" s="10"/>
      <c r="POI63" s="10"/>
      <c r="POJ63" s="10"/>
      <c r="POK63" s="10"/>
      <c r="POL63" s="10"/>
      <c r="POM63" s="10"/>
      <c r="PON63" s="10"/>
      <c r="POO63" s="10"/>
      <c r="POP63" s="10"/>
      <c r="POQ63" s="10"/>
      <c r="POR63" s="10"/>
      <c r="POS63" s="10"/>
      <c r="POT63" s="10"/>
      <c r="POU63" s="10"/>
      <c r="POV63" s="10"/>
      <c r="POW63" s="10"/>
      <c r="POX63" s="10"/>
      <c r="POY63" s="10"/>
      <c r="POZ63" s="10"/>
      <c r="PPA63" s="10"/>
      <c r="PPB63" s="10"/>
      <c r="PPC63" s="10"/>
      <c r="PPD63" s="10"/>
      <c r="PPE63" s="10"/>
      <c r="PPF63" s="10"/>
      <c r="PPG63" s="10"/>
      <c r="PPH63" s="10"/>
      <c r="PPI63" s="10"/>
      <c r="PPJ63" s="10"/>
      <c r="PPK63" s="10"/>
      <c r="PPL63" s="10"/>
      <c r="PPM63" s="10"/>
      <c r="PPN63" s="10"/>
      <c r="PPO63" s="10"/>
      <c r="PPP63" s="10"/>
      <c r="PPQ63" s="10"/>
      <c r="PPR63" s="10"/>
      <c r="PPS63" s="10"/>
      <c r="PPT63" s="10"/>
      <c r="PPU63" s="10"/>
      <c r="PPV63" s="10"/>
      <c r="PPW63" s="10"/>
      <c r="PPX63" s="10"/>
      <c r="PPY63" s="10"/>
      <c r="PPZ63" s="10"/>
      <c r="PQA63" s="10"/>
      <c r="PQB63" s="10"/>
      <c r="PQC63" s="10"/>
      <c r="PQD63" s="10"/>
      <c r="PQE63" s="10"/>
      <c r="PQF63" s="10"/>
      <c r="PQG63" s="10"/>
      <c r="PQH63" s="10"/>
      <c r="PQI63" s="10"/>
      <c r="PQJ63" s="10"/>
      <c r="PQK63" s="10"/>
      <c r="PQL63" s="10"/>
      <c r="PQM63" s="10"/>
      <c r="PQN63" s="10"/>
      <c r="PQO63" s="10"/>
      <c r="PQP63" s="10"/>
      <c r="PQQ63" s="10"/>
      <c r="PQR63" s="10"/>
      <c r="PQS63" s="10"/>
      <c r="PQT63" s="10"/>
      <c r="PQU63" s="10"/>
      <c r="PQV63" s="10"/>
      <c r="PQW63" s="10"/>
      <c r="PQX63" s="10"/>
      <c r="PQY63" s="10"/>
      <c r="PQZ63" s="10"/>
      <c r="PRA63" s="10"/>
      <c r="PRB63" s="10"/>
      <c r="PRC63" s="10"/>
      <c r="PRD63" s="10"/>
      <c r="PRE63" s="10"/>
      <c r="PRF63" s="10"/>
      <c r="PRG63" s="10"/>
      <c r="PRH63" s="10"/>
      <c r="PRI63" s="10"/>
      <c r="PRJ63" s="10"/>
      <c r="PRK63" s="10"/>
      <c r="PRL63" s="10"/>
      <c r="PRM63" s="10"/>
      <c r="PRN63" s="10"/>
      <c r="PRO63" s="10"/>
      <c r="PRP63" s="10"/>
      <c r="PRQ63" s="10"/>
      <c r="PRR63" s="10"/>
      <c r="PRS63" s="10"/>
      <c r="PRT63" s="10"/>
      <c r="PRU63" s="10"/>
      <c r="PRV63" s="10"/>
      <c r="PRW63" s="10"/>
      <c r="PRX63" s="10"/>
      <c r="PRY63" s="10"/>
      <c r="PRZ63" s="10"/>
      <c r="PSA63" s="10"/>
      <c r="PSB63" s="10"/>
      <c r="PSC63" s="10"/>
      <c r="PSD63" s="10"/>
      <c r="PSE63" s="10"/>
      <c r="PSF63" s="10"/>
      <c r="PSG63" s="10"/>
      <c r="PSH63" s="10"/>
      <c r="PSI63" s="10"/>
      <c r="PSJ63" s="10"/>
      <c r="PSK63" s="10"/>
      <c r="PSL63" s="10"/>
      <c r="PSM63" s="10"/>
      <c r="PSN63" s="10"/>
      <c r="PSO63" s="10"/>
      <c r="PSP63" s="10"/>
      <c r="PSQ63" s="10"/>
      <c r="PSR63" s="10"/>
      <c r="PSS63" s="10"/>
      <c r="PST63" s="10"/>
      <c r="PSU63" s="10"/>
      <c r="PSV63" s="10"/>
      <c r="PSW63" s="10"/>
      <c r="PSX63" s="10"/>
      <c r="PSY63" s="10"/>
      <c r="PSZ63" s="10"/>
      <c r="PTA63" s="10"/>
      <c r="PTB63" s="10"/>
      <c r="PTC63" s="10"/>
      <c r="PTD63" s="10"/>
      <c r="PTE63" s="10"/>
      <c r="PTF63" s="10"/>
      <c r="PTG63" s="10"/>
      <c r="PTH63" s="10"/>
      <c r="PTI63" s="10"/>
      <c r="PTJ63" s="10"/>
      <c r="PTK63" s="10"/>
      <c r="PTL63" s="10"/>
      <c r="PTM63" s="10"/>
      <c r="PTN63" s="10"/>
      <c r="PTO63" s="10"/>
      <c r="PTP63" s="10"/>
      <c r="PTQ63" s="10"/>
      <c r="PTR63" s="10"/>
      <c r="PTS63" s="10"/>
      <c r="PTT63" s="10"/>
      <c r="PTU63" s="10"/>
      <c r="PTV63" s="10"/>
      <c r="PTW63" s="10"/>
      <c r="PTX63" s="10"/>
      <c r="PTY63" s="10"/>
      <c r="PTZ63" s="10"/>
      <c r="PUA63" s="10"/>
      <c r="PUB63" s="10"/>
      <c r="PUC63" s="10"/>
      <c r="PUD63" s="10"/>
      <c r="PUE63" s="10"/>
      <c r="PUF63" s="10"/>
      <c r="PUG63" s="10"/>
      <c r="PUH63" s="10"/>
      <c r="PUI63" s="10"/>
      <c r="PUJ63" s="10"/>
      <c r="PUK63" s="10"/>
      <c r="PUL63" s="10"/>
      <c r="PUM63" s="10"/>
      <c r="PUN63" s="10"/>
      <c r="PUO63" s="10"/>
      <c r="PUP63" s="10"/>
      <c r="PUQ63" s="10"/>
      <c r="PUR63" s="10"/>
      <c r="PUS63" s="10"/>
      <c r="PUT63" s="10"/>
      <c r="PUU63" s="10"/>
      <c r="PUV63" s="10"/>
      <c r="PUW63" s="10"/>
      <c r="PUX63" s="10"/>
      <c r="PUY63" s="10"/>
      <c r="PUZ63" s="10"/>
      <c r="PVA63" s="10"/>
      <c r="PVB63" s="10"/>
      <c r="PVC63" s="10"/>
      <c r="PVD63" s="10"/>
      <c r="PVE63" s="10"/>
      <c r="PVF63" s="10"/>
      <c r="PVG63" s="10"/>
      <c r="PVH63" s="10"/>
      <c r="PVI63" s="10"/>
      <c r="PVJ63" s="10"/>
      <c r="PVK63" s="10"/>
      <c r="PVL63" s="10"/>
      <c r="PVM63" s="10"/>
      <c r="PVN63" s="10"/>
      <c r="PVO63" s="10"/>
      <c r="PVP63" s="10"/>
      <c r="PVQ63" s="10"/>
      <c r="PVR63" s="10"/>
      <c r="PVS63" s="10"/>
      <c r="PVT63" s="10"/>
      <c r="PVU63" s="10"/>
      <c r="PVV63" s="10"/>
      <c r="PVW63" s="10"/>
      <c r="PVX63" s="10"/>
      <c r="PVY63" s="10"/>
      <c r="PVZ63" s="10"/>
      <c r="PWA63" s="10"/>
      <c r="PWB63" s="10"/>
      <c r="PWC63" s="10"/>
      <c r="PWD63" s="10"/>
      <c r="PWE63" s="10"/>
      <c r="PWF63" s="10"/>
      <c r="PWG63" s="10"/>
      <c r="PWH63" s="10"/>
      <c r="PWI63" s="10"/>
      <c r="PWJ63" s="10"/>
      <c r="PWK63" s="10"/>
      <c r="PWL63" s="10"/>
      <c r="PWM63" s="10"/>
      <c r="PWN63" s="10"/>
      <c r="PWO63" s="10"/>
      <c r="PWP63" s="10"/>
      <c r="PWQ63" s="10"/>
      <c r="PWR63" s="10"/>
      <c r="PWS63" s="10"/>
      <c r="PWT63" s="10"/>
      <c r="PWU63" s="10"/>
      <c r="PWV63" s="10"/>
      <c r="PWW63" s="10"/>
      <c r="PWX63" s="10"/>
      <c r="PWY63" s="10"/>
      <c r="PWZ63" s="10"/>
      <c r="PXA63" s="10"/>
      <c r="PXB63" s="10"/>
      <c r="PXC63" s="10"/>
      <c r="PXD63" s="10"/>
      <c r="PXE63" s="10"/>
      <c r="PXF63" s="10"/>
      <c r="PXG63" s="10"/>
      <c r="PXH63" s="10"/>
      <c r="PXI63" s="10"/>
      <c r="PXJ63" s="10"/>
      <c r="PXK63" s="10"/>
      <c r="PXL63" s="10"/>
      <c r="PXM63" s="10"/>
      <c r="PXN63" s="10"/>
      <c r="PXO63" s="10"/>
      <c r="PXP63" s="10"/>
      <c r="PXQ63" s="10"/>
      <c r="PXR63" s="10"/>
      <c r="PXS63" s="10"/>
      <c r="PXT63" s="10"/>
      <c r="PXU63" s="10"/>
      <c r="PXV63" s="10"/>
      <c r="PXW63" s="10"/>
      <c r="PXX63" s="10"/>
      <c r="PXY63" s="10"/>
      <c r="PXZ63" s="10"/>
      <c r="PYA63" s="10"/>
      <c r="PYB63" s="10"/>
      <c r="PYC63" s="10"/>
      <c r="PYD63" s="10"/>
      <c r="PYE63" s="10"/>
      <c r="PYF63" s="10"/>
      <c r="PYG63" s="10"/>
      <c r="PYH63" s="10"/>
      <c r="PYI63" s="10"/>
      <c r="PYJ63" s="10"/>
      <c r="PYK63" s="10"/>
      <c r="PYL63" s="10"/>
      <c r="PYM63" s="10"/>
      <c r="PYN63" s="10"/>
      <c r="PYO63" s="10"/>
      <c r="PYP63" s="10"/>
      <c r="PYQ63" s="10"/>
      <c r="PYR63" s="10"/>
      <c r="PYS63" s="10"/>
      <c r="PYT63" s="10"/>
      <c r="PYU63" s="10"/>
      <c r="PYV63" s="10"/>
      <c r="PYW63" s="10"/>
      <c r="PYX63" s="10"/>
      <c r="PYY63" s="10"/>
      <c r="PYZ63" s="10"/>
      <c r="PZA63" s="10"/>
      <c r="PZB63" s="10"/>
      <c r="PZC63" s="10"/>
      <c r="PZD63" s="10"/>
      <c r="PZE63" s="10"/>
      <c r="PZF63" s="10"/>
      <c r="PZG63" s="10"/>
      <c r="PZH63" s="10"/>
      <c r="PZI63" s="10"/>
      <c r="PZJ63" s="10"/>
      <c r="PZK63" s="10"/>
      <c r="PZL63" s="10"/>
      <c r="PZM63" s="10"/>
      <c r="PZN63" s="10"/>
      <c r="PZO63" s="10"/>
      <c r="PZP63" s="10"/>
      <c r="PZQ63" s="10"/>
      <c r="PZR63" s="10"/>
      <c r="PZS63" s="10"/>
      <c r="PZT63" s="10"/>
      <c r="PZU63" s="10"/>
      <c r="PZV63" s="10"/>
      <c r="PZW63" s="10"/>
      <c r="PZX63" s="10"/>
      <c r="PZY63" s="10"/>
      <c r="PZZ63" s="10"/>
      <c r="QAA63" s="10"/>
      <c r="QAB63" s="10"/>
      <c r="QAC63" s="10"/>
      <c r="QAD63" s="10"/>
      <c r="QAE63" s="10"/>
      <c r="QAF63" s="10"/>
      <c r="QAG63" s="10"/>
      <c r="QAH63" s="10"/>
      <c r="QAI63" s="10"/>
      <c r="QAJ63" s="10"/>
      <c r="QAK63" s="10"/>
      <c r="QAL63" s="10"/>
      <c r="QAM63" s="10"/>
      <c r="QAN63" s="10"/>
      <c r="QAO63" s="10"/>
      <c r="QAP63" s="10"/>
      <c r="QAQ63" s="10"/>
      <c r="QAR63" s="10"/>
      <c r="QAS63" s="10"/>
      <c r="QAT63" s="10"/>
      <c r="QAU63" s="10"/>
      <c r="QAV63" s="10"/>
      <c r="QAW63" s="10"/>
      <c r="QAX63" s="10"/>
      <c r="QAY63" s="10"/>
      <c r="QAZ63" s="10"/>
      <c r="QBA63" s="10"/>
      <c r="QBB63" s="10"/>
      <c r="QBC63" s="10"/>
      <c r="QBD63" s="10"/>
      <c r="QBE63" s="10"/>
      <c r="QBF63" s="10"/>
      <c r="QBG63" s="10"/>
      <c r="QBH63" s="10"/>
      <c r="QBI63" s="10"/>
      <c r="QBJ63" s="10"/>
      <c r="QBK63" s="10"/>
      <c r="QBL63" s="10"/>
      <c r="QBM63" s="10"/>
      <c r="QBN63" s="10"/>
      <c r="QBO63" s="10"/>
      <c r="QBP63" s="10"/>
      <c r="QBQ63" s="10"/>
      <c r="QBR63" s="10"/>
      <c r="QBS63" s="10"/>
      <c r="QBT63" s="10"/>
      <c r="QBU63" s="10"/>
      <c r="QBV63" s="10"/>
      <c r="QBW63" s="10"/>
      <c r="QBX63" s="10"/>
      <c r="QBY63" s="10"/>
      <c r="QBZ63" s="10"/>
      <c r="QCA63" s="10"/>
      <c r="QCB63" s="10"/>
      <c r="QCC63" s="10"/>
      <c r="QCD63" s="10"/>
      <c r="QCE63" s="10"/>
      <c r="QCF63" s="10"/>
      <c r="QCG63" s="10"/>
      <c r="QCH63" s="10"/>
      <c r="QCI63" s="10"/>
      <c r="QCJ63" s="10"/>
      <c r="QCK63" s="10"/>
      <c r="QCL63" s="10"/>
      <c r="QCM63" s="10"/>
      <c r="QCN63" s="10"/>
      <c r="QCO63" s="10"/>
      <c r="QCP63" s="10"/>
      <c r="QCQ63" s="10"/>
      <c r="QCR63" s="10"/>
      <c r="QCS63" s="10"/>
      <c r="QCT63" s="10"/>
      <c r="QCU63" s="10"/>
      <c r="QCV63" s="10"/>
      <c r="QCW63" s="10"/>
      <c r="QCX63" s="10"/>
      <c r="QCY63" s="10"/>
      <c r="QCZ63" s="10"/>
      <c r="QDA63" s="10"/>
      <c r="QDB63" s="10"/>
      <c r="QDC63" s="10"/>
      <c r="QDD63" s="10"/>
      <c r="QDE63" s="10"/>
      <c r="QDF63" s="10"/>
      <c r="QDG63" s="10"/>
      <c r="QDH63" s="10"/>
      <c r="QDI63" s="10"/>
      <c r="QDJ63" s="10"/>
      <c r="QDK63" s="10"/>
      <c r="QDL63" s="10"/>
      <c r="QDM63" s="10"/>
      <c r="QDN63" s="10"/>
      <c r="QDO63" s="10"/>
      <c r="QDP63" s="10"/>
      <c r="QDQ63" s="10"/>
      <c r="QDR63" s="10"/>
      <c r="QDS63" s="10"/>
      <c r="QDT63" s="10"/>
      <c r="QDU63" s="10"/>
      <c r="QDV63" s="10"/>
      <c r="QDW63" s="10"/>
      <c r="QDX63" s="10"/>
      <c r="QDY63" s="10"/>
      <c r="QDZ63" s="10"/>
      <c r="QEA63" s="10"/>
      <c r="QEB63" s="10"/>
      <c r="QEC63" s="10"/>
      <c r="QED63" s="10"/>
      <c r="QEE63" s="10"/>
      <c r="QEF63" s="10"/>
      <c r="QEG63" s="10"/>
      <c r="QEH63" s="10"/>
      <c r="QEI63" s="10"/>
      <c r="QEJ63" s="10"/>
      <c r="QEK63" s="10"/>
      <c r="QEL63" s="10"/>
      <c r="QEM63" s="10"/>
      <c r="QEN63" s="10"/>
      <c r="QEO63" s="10"/>
      <c r="QEP63" s="10"/>
      <c r="QEQ63" s="10"/>
      <c r="QER63" s="10"/>
      <c r="QES63" s="10"/>
      <c r="QET63" s="10"/>
      <c r="QEU63" s="10"/>
      <c r="QEV63" s="10"/>
      <c r="QEW63" s="10"/>
      <c r="QEX63" s="10"/>
      <c r="QEY63" s="10"/>
      <c r="QEZ63" s="10"/>
      <c r="QFA63" s="10"/>
      <c r="QFB63" s="10"/>
      <c r="QFC63" s="10"/>
      <c r="QFD63" s="10"/>
      <c r="QFE63" s="10"/>
      <c r="QFF63" s="10"/>
      <c r="QFG63" s="10"/>
      <c r="QFH63" s="10"/>
      <c r="QFI63" s="10"/>
      <c r="QFJ63" s="10"/>
      <c r="QFK63" s="10"/>
      <c r="QFL63" s="10"/>
      <c r="QFM63" s="10"/>
      <c r="QFN63" s="10"/>
      <c r="QFO63" s="10"/>
      <c r="QFP63" s="10"/>
      <c r="QFQ63" s="10"/>
      <c r="QFR63" s="10"/>
      <c r="QFS63" s="10"/>
      <c r="QFT63" s="10"/>
      <c r="QFU63" s="10"/>
      <c r="QFV63" s="10"/>
      <c r="QFW63" s="10"/>
      <c r="QFX63" s="10"/>
      <c r="QFY63" s="10"/>
      <c r="QFZ63" s="10"/>
      <c r="QGA63" s="10"/>
      <c r="QGB63" s="10"/>
      <c r="QGC63" s="10"/>
      <c r="QGD63" s="10"/>
      <c r="QGE63" s="10"/>
      <c r="QGF63" s="10"/>
      <c r="QGG63" s="10"/>
      <c r="QGH63" s="10"/>
      <c r="QGI63" s="10"/>
      <c r="QGJ63" s="10"/>
      <c r="QGK63" s="10"/>
      <c r="QGL63" s="10"/>
      <c r="QGM63" s="10"/>
      <c r="QGN63" s="10"/>
      <c r="QGO63" s="10"/>
      <c r="QGP63" s="10"/>
      <c r="QGQ63" s="10"/>
      <c r="QGR63" s="10"/>
      <c r="QGS63" s="10"/>
      <c r="QGT63" s="10"/>
      <c r="QGU63" s="10"/>
      <c r="QGV63" s="10"/>
      <c r="QGW63" s="10"/>
      <c r="QGX63" s="10"/>
      <c r="QGY63" s="10"/>
      <c r="QGZ63" s="10"/>
      <c r="QHA63" s="10"/>
      <c r="QHB63" s="10"/>
      <c r="QHC63" s="10"/>
      <c r="QHD63" s="10"/>
      <c r="QHE63" s="10"/>
      <c r="QHF63" s="10"/>
      <c r="QHG63" s="10"/>
      <c r="QHH63" s="10"/>
      <c r="QHI63" s="10"/>
      <c r="QHJ63" s="10"/>
      <c r="QHK63" s="10"/>
      <c r="QHL63" s="10"/>
      <c r="QHM63" s="10"/>
      <c r="QHN63" s="10"/>
      <c r="QHO63" s="10"/>
      <c r="QHP63" s="10"/>
      <c r="QHQ63" s="10"/>
      <c r="QHR63" s="10"/>
      <c r="QHS63" s="10"/>
      <c r="QHT63" s="10"/>
      <c r="QHU63" s="10"/>
      <c r="QHV63" s="10"/>
      <c r="QHW63" s="10"/>
      <c r="QHX63" s="10"/>
      <c r="QHY63" s="10"/>
      <c r="QHZ63" s="10"/>
      <c r="QIA63" s="10"/>
      <c r="QIB63" s="10"/>
      <c r="QIC63" s="10"/>
      <c r="QID63" s="10"/>
      <c r="QIE63" s="10"/>
      <c r="QIF63" s="10"/>
      <c r="QIG63" s="10"/>
      <c r="QIH63" s="10"/>
      <c r="QII63" s="10"/>
      <c r="QIJ63" s="10"/>
      <c r="QIK63" s="10"/>
      <c r="QIL63" s="10"/>
      <c r="QIM63" s="10"/>
      <c r="QIN63" s="10"/>
      <c r="QIO63" s="10"/>
      <c r="QIP63" s="10"/>
      <c r="QIQ63" s="10"/>
      <c r="QIR63" s="10"/>
      <c r="QIS63" s="10"/>
      <c r="QIT63" s="10"/>
      <c r="QIU63" s="10"/>
      <c r="QIV63" s="10"/>
      <c r="QIW63" s="10"/>
      <c r="QIX63" s="10"/>
      <c r="QIY63" s="10"/>
      <c r="QIZ63" s="10"/>
      <c r="QJA63" s="10"/>
      <c r="QJB63" s="10"/>
      <c r="QJC63" s="10"/>
      <c r="QJD63" s="10"/>
      <c r="QJE63" s="10"/>
      <c r="QJF63" s="10"/>
      <c r="QJG63" s="10"/>
      <c r="QJH63" s="10"/>
      <c r="QJI63" s="10"/>
      <c r="QJJ63" s="10"/>
      <c r="QJK63" s="10"/>
      <c r="QJL63" s="10"/>
      <c r="QJM63" s="10"/>
      <c r="QJN63" s="10"/>
      <c r="QJO63" s="10"/>
      <c r="QJP63" s="10"/>
      <c r="QJQ63" s="10"/>
      <c r="QJR63" s="10"/>
      <c r="QJS63" s="10"/>
      <c r="QJT63" s="10"/>
      <c r="QJU63" s="10"/>
      <c r="QJV63" s="10"/>
      <c r="QJW63" s="10"/>
      <c r="QJX63" s="10"/>
      <c r="QJY63" s="10"/>
      <c r="QJZ63" s="10"/>
      <c r="QKA63" s="10"/>
      <c r="QKB63" s="10"/>
      <c r="QKC63" s="10"/>
      <c r="QKD63" s="10"/>
      <c r="QKE63" s="10"/>
      <c r="QKF63" s="10"/>
      <c r="QKG63" s="10"/>
      <c r="QKH63" s="10"/>
      <c r="QKI63" s="10"/>
      <c r="QKJ63" s="10"/>
      <c r="QKK63" s="10"/>
      <c r="QKL63" s="10"/>
      <c r="QKM63" s="10"/>
      <c r="QKN63" s="10"/>
      <c r="QKO63" s="10"/>
      <c r="QKP63" s="10"/>
      <c r="QKQ63" s="10"/>
      <c r="QKR63" s="10"/>
      <c r="QKS63" s="10"/>
      <c r="QKT63" s="10"/>
      <c r="QKU63" s="10"/>
      <c r="QKV63" s="10"/>
      <c r="QKW63" s="10"/>
      <c r="QKX63" s="10"/>
      <c r="QKY63" s="10"/>
      <c r="QKZ63" s="10"/>
      <c r="QLA63" s="10"/>
      <c r="QLB63" s="10"/>
      <c r="QLC63" s="10"/>
      <c r="QLD63" s="10"/>
      <c r="QLE63" s="10"/>
      <c r="QLF63" s="10"/>
      <c r="QLG63" s="10"/>
      <c r="QLH63" s="10"/>
      <c r="QLI63" s="10"/>
      <c r="QLJ63" s="10"/>
      <c r="QLK63" s="10"/>
      <c r="QLL63" s="10"/>
      <c r="QLM63" s="10"/>
      <c r="QLN63" s="10"/>
      <c r="QLO63" s="10"/>
      <c r="QLP63" s="10"/>
      <c r="QLQ63" s="10"/>
      <c r="QLR63" s="10"/>
      <c r="QLS63" s="10"/>
      <c r="QLT63" s="10"/>
      <c r="QLU63" s="10"/>
      <c r="QLV63" s="10"/>
      <c r="QLW63" s="10"/>
      <c r="QLX63" s="10"/>
      <c r="QLY63" s="10"/>
      <c r="QLZ63" s="10"/>
      <c r="QMA63" s="10"/>
      <c r="QMB63" s="10"/>
      <c r="QMC63" s="10"/>
      <c r="QMD63" s="10"/>
      <c r="QME63" s="10"/>
      <c r="QMF63" s="10"/>
      <c r="QMG63" s="10"/>
      <c r="QMH63" s="10"/>
      <c r="QMI63" s="10"/>
      <c r="QMJ63" s="10"/>
      <c r="QMK63" s="10"/>
      <c r="QML63" s="10"/>
      <c r="QMM63" s="10"/>
      <c r="QMN63" s="10"/>
      <c r="QMO63" s="10"/>
      <c r="QMP63" s="10"/>
      <c r="QMQ63" s="10"/>
      <c r="QMR63" s="10"/>
      <c r="QMS63" s="10"/>
      <c r="QMT63" s="10"/>
      <c r="QMU63" s="10"/>
      <c r="QMV63" s="10"/>
      <c r="QMW63" s="10"/>
      <c r="QMX63" s="10"/>
      <c r="QMY63" s="10"/>
      <c r="QMZ63" s="10"/>
      <c r="QNA63" s="10"/>
      <c r="QNB63" s="10"/>
      <c r="QNC63" s="10"/>
      <c r="QND63" s="10"/>
      <c r="QNE63" s="10"/>
      <c r="QNF63" s="10"/>
      <c r="QNG63" s="10"/>
      <c r="QNH63" s="10"/>
      <c r="QNI63" s="10"/>
      <c r="QNJ63" s="10"/>
      <c r="QNK63" s="10"/>
      <c r="QNL63" s="10"/>
      <c r="QNM63" s="10"/>
      <c r="QNN63" s="10"/>
      <c r="QNO63" s="10"/>
      <c r="QNP63" s="10"/>
      <c r="QNQ63" s="10"/>
      <c r="QNR63" s="10"/>
      <c r="QNS63" s="10"/>
      <c r="QNT63" s="10"/>
      <c r="QNU63" s="10"/>
      <c r="QNV63" s="10"/>
      <c r="QNW63" s="10"/>
      <c r="QNX63" s="10"/>
      <c r="QNY63" s="10"/>
      <c r="QNZ63" s="10"/>
      <c r="QOA63" s="10"/>
      <c r="QOB63" s="10"/>
      <c r="QOC63" s="10"/>
      <c r="QOD63" s="10"/>
      <c r="QOE63" s="10"/>
      <c r="QOF63" s="10"/>
      <c r="QOG63" s="10"/>
      <c r="QOH63" s="10"/>
      <c r="QOI63" s="10"/>
      <c r="QOJ63" s="10"/>
      <c r="QOK63" s="10"/>
      <c r="QOL63" s="10"/>
      <c r="QOM63" s="10"/>
      <c r="QON63" s="10"/>
      <c r="QOO63" s="10"/>
      <c r="QOP63" s="10"/>
      <c r="QOQ63" s="10"/>
      <c r="QOR63" s="10"/>
      <c r="QOS63" s="10"/>
      <c r="QOT63" s="10"/>
      <c r="QOU63" s="10"/>
      <c r="QOV63" s="10"/>
      <c r="QOW63" s="10"/>
      <c r="QOX63" s="10"/>
      <c r="QOY63" s="10"/>
      <c r="QOZ63" s="10"/>
      <c r="QPA63" s="10"/>
      <c r="QPB63" s="10"/>
      <c r="QPC63" s="10"/>
      <c r="QPD63" s="10"/>
      <c r="QPE63" s="10"/>
      <c r="QPF63" s="10"/>
      <c r="QPG63" s="10"/>
      <c r="QPH63" s="10"/>
      <c r="QPI63" s="10"/>
      <c r="QPJ63" s="10"/>
      <c r="QPK63" s="10"/>
      <c r="QPL63" s="10"/>
      <c r="QPM63" s="10"/>
      <c r="QPN63" s="10"/>
      <c r="QPO63" s="10"/>
      <c r="QPP63" s="10"/>
      <c r="QPQ63" s="10"/>
      <c r="QPR63" s="10"/>
      <c r="QPS63" s="10"/>
      <c r="QPT63" s="10"/>
      <c r="QPU63" s="10"/>
      <c r="QPV63" s="10"/>
      <c r="QPW63" s="10"/>
      <c r="QPX63" s="10"/>
      <c r="QPY63" s="10"/>
      <c r="QPZ63" s="10"/>
      <c r="QQA63" s="10"/>
      <c r="QQB63" s="10"/>
      <c r="QQC63" s="10"/>
      <c r="QQD63" s="10"/>
      <c r="QQE63" s="10"/>
      <c r="QQF63" s="10"/>
      <c r="QQG63" s="10"/>
      <c r="QQH63" s="10"/>
      <c r="QQI63" s="10"/>
      <c r="QQJ63" s="10"/>
      <c r="QQK63" s="10"/>
      <c r="QQL63" s="10"/>
      <c r="QQM63" s="10"/>
      <c r="QQN63" s="10"/>
      <c r="QQO63" s="10"/>
      <c r="QQP63" s="10"/>
      <c r="QQQ63" s="10"/>
      <c r="QQR63" s="10"/>
      <c r="QQS63" s="10"/>
      <c r="QQT63" s="10"/>
      <c r="QQU63" s="10"/>
      <c r="QQV63" s="10"/>
      <c r="QQW63" s="10"/>
      <c r="QQX63" s="10"/>
      <c r="QQY63" s="10"/>
      <c r="QQZ63" s="10"/>
      <c r="QRA63" s="10"/>
      <c r="QRB63" s="10"/>
      <c r="QRC63" s="10"/>
      <c r="QRD63" s="10"/>
      <c r="QRE63" s="10"/>
      <c r="QRF63" s="10"/>
      <c r="QRG63" s="10"/>
      <c r="QRH63" s="10"/>
      <c r="QRI63" s="10"/>
      <c r="QRJ63" s="10"/>
      <c r="QRK63" s="10"/>
      <c r="QRL63" s="10"/>
      <c r="QRM63" s="10"/>
      <c r="QRN63" s="10"/>
      <c r="QRO63" s="10"/>
      <c r="QRP63" s="10"/>
      <c r="QRQ63" s="10"/>
      <c r="QRR63" s="10"/>
      <c r="QRS63" s="10"/>
      <c r="QRT63" s="10"/>
      <c r="QRU63" s="10"/>
      <c r="QRV63" s="10"/>
      <c r="QRW63" s="10"/>
      <c r="QRX63" s="10"/>
      <c r="QRY63" s="10"/>
      <c r="QRZ63" s="10"/>
      <c r="QSA63" s="10"/>
      <c r="QSB63" s="10"/>
      <c r="QSC63" s="10"/>
      <c r="QSD63" s="10"/>
      <c r="QSE63" s="10"/>
      <c r="QSF63" s="10"/>
      <c r="QSG63" s="10"/>
      <c r="QSH63" s="10"/>
      <c r="QSI63" s="10"/>
      <c r="QSJ63" s="10"/>
      <c r="QSK63" s="10"/>
      <c r="QSL63" s="10"/>
      <c r="QSM63" s="10"/>
      <c r="QSN63" s="10"/>
      <c r="QSO63" s="10"/>
      <c r="QSP63" s="10"/>
      <c r="QSQ63" s="10"/>
      <c r="QSR63" s="10"/>
      <c r="QSS63" s="10"/>
      <c r="QST63" s="10"/>
      <c r="QSU63" s="10"/>
      <c r="QSV63" s="10"/>
      <c r="QSW63" s="10"/>
      <c r="QSX63" s="10"/>
      <c r="QSY63" s="10"/>
      <c r="QSZ63" s="10"/>
      <c r="QTA63" s="10"/>
      <c r="QTB63" s="10"/>
      <c r="QTC63" s="10"/>
      <c r="QTD63" s="10"/>
      <c r="QTE63" s="10"/>
      <c r="QTF63" s="10"/>
      <c r="QTG63" s="10"/>
      <c r="QTH63" s="10"/>
      <c r="QTI63" s="10"/>
      <c r="QTJ63" s="10"/>
      <c r="QTK63" s="10"/>
      <c r="QTL63" s="10"/>
      <c r="QTM63" s="10"/>
      <c r="QTN63" s="10"/>
      <c r="QTO63" s="10"/>
      <c r="QTP63" s="10"/>
      <c r="QTQ63" s="10"/>
      <c r="QTR63" s="10"/>
      <c r="QTS63" s="10"/>
      <c r="QTT63" s="10"/>
      <c r="QTU63" s="10"/>
      <c r="QTV63" s="10"/>
      <c r="QTW63" s="10"/>
      <c r="QTX63" s="10"/>
      <c r="QTY63" s="10"/>
      <c r="QTZ63" s="10"/>
      <c r="QUA63" s="10"/>
      <c r="QUB63" s="10"/>
      <c r="QUC63" s="10"/>
      <c r="QUD63" s="10"/>
      <c r="QUE63" s="10"/>
      <c r="QUF63" s="10"/>
      <c r="QUG63" s="10"/>
      <c r="QUH63" s="10"/>
      <c r="QUI63" s="10"/>
      <c r="QUJ63" s="10"/>
      <c r="QUK63" s="10"/>
      <c r="QUL63" s="10"/>
      <c r="QUM63" s="10"/>
      <c r="QUN63" s="10"/>
      <c r="QUO63" s="10"/>
      <c r="QUP63" s="10"/>
      <c r="QUQ63" s="10"/>
      <c r="QUR63" s="10"/>
      <c r="QUS63" s="10"/>
      <c r="QUT63" s="10"/>
      <c r="QUU63" s="10"/>
      <c r="QUV63" s="10"/>
      <c r="QUW63" s="10"/>
      <c r="QUX63" s="10"/>
      <c r="QUY63" s="10"/>
      <c r="QUZ63" s="10"/>
      <c r="QVA63" s="10"/>
      <c r="QVB63" s="10"/>
      <c r="QVC63" s="10"/>
      <c r="QVD63" s="10"/>
      <c r="QVE63" s="10"/>
      <c r="QVF63" s="10"/>
      <c r="QVG63" s="10"/>
      <c r="QVH63" s="10"/>
      <c r="QVI63" s="10"/>
      <c r="QVJ63" s="10"/>
      <c r="QVK63" s="10"/>
      <c r="QVL63" s="10"/>
      <c r="QVM63" s="10"/>
      <c r="QVN63" s="10"/>
      <c r="QVO63" s="10"/>
      <c r="QVP63" s="10"/>
      <c r="QVQ63" s="10"/>
      <c r="QVR63" s="10"/>
      <c r="QVS63" s="10"/>
      <c r="QVT63" s="10"/>
      <c r="QVU63" s="10"/>
      <c r="QVV63" s="10"/>
      <c r="QVW63" s="10"/>
      <c r="QVX63" s="10"/>
      <c r="QVY63" s="10"/>
      <c r="QVZ63" s="10"/>
      <c r="QWA63" s="10"/>
      <c r="QWB63" s="10"/>
      <c r="QWC63" s="10"/>
      <c r="QWD63" s="10"/>
      <c r="QWE63" s="10"/>
      <c r="QWF63" s="10"/>
      <c r="QWG63" s="10"/>
      <c r="QWH63" s="10"/>
      <c r="QWI63" s="10"/>
      <c r="QWJ63" s="10"/>
      <c r="QWK63" s="10"/>
      <c r="QWL63" s="10"/>
      <c r="QWM63" s="10"/>
      <c r="QWN63" s="10"/>
      <c r="QWO63" s="10"/>
      <c r="QWP63" s="10"/>
      <c r="QWQ63" s="10"/>
      <c r="QWR63" s="10"/>
      <c r="QWS63" s="10"/>
      <c r="QWT63" s="10"/>
      <c r="QWU63" s="10"/>
      <c r="QWV63" s="10"/>
      <c r="QWW63" s="10"/>
      <c r="QWX63" s="10"/>
      <c r="QWY63" s="10"/>
      <c r="QWZ63" s="10"/>
      <c r="QXA63" s="10"/>
      <c r="QXB63" s="10"/>
      <c r="QXC63" s="10"/>
      <c r="QXD63" s="10"/>
      <c r="QXE63" s="10"/>
      <c r="QXF63" s="10"/>
      <c r="QXG63" s="10"/>
      <c r="QXH63" s="10"/>
      <c r="QXI63" s="10"/>
      <c r="QXJ63" s="10"/>
      <c r="QXK63" s="10"/>
      <c r="QXL63" s="10"/>
      <c r="QXM63" s="10"/>
      <c r="QXN63" s="10"/>
      <c r="QXO63" s="10"/>
      <c r="QXP63" s="10"/>
      <c r="QXQ63" s="10"/>
      <c r="QXR63" s="10"/>
      <c r="QXS63" s="10"/>
      <c r="QXT63" s="10"/>
      <c r="QXU63" s="10"/>
      <c r="QXV63" s="10"/>
      <c r="QXW63" s="10"/>
      <c r="QXX63" s="10"/>
      <c r="QXY63" s="10"/>
      <c r="QXZ63" s="10"/>
      <c r="QYA63" s="10"/>
      <c r="QYB63" s="10"/>
      <c r="QYC63" s="10"/>
      <c r="QYD63" s="10"/>
      <c r="QYE63" s="10"/>
      <c r="QYF63" s="10"/>
      <c r="QYG63" s="10"/>
      <c r="QYH63" s="10"/>
      <c r="QYI63" s="10"/>
      <c r="QYJ63" s="10"/>
      <c r="QYK63" s="10"/>
      <c r="QYL63" s="10"/>
      <c r="QYM63" s="10"/>
      <c r="QYN63" s="10"/>
      <c r="QYO63" s="10"/>
      <c r="QYP63" s="10"/>
      <c r="QYQ63" s="10"/>
      <c r="QYR63" s="10"/>
      <c r="QYS63" s="10"/>
      <c r="QYT63" s="10"/>
      <c r="QYU63" s="10"/>
      <c r="QYV63" s="10"/>
      <c r="QYW63" s="10"/>
      <c r="QYX63" s="10"/>
      <c r="QYY63" s="10"/>
      <c r="QYZ63" s="10"/>
      <c r="QZA63" s="10"/>
      <c r="QZB63" s="10"/>
      <c r="QZC63" s="10"/>
      <c r="QZD63" s="10"/>
      <c r="QZE63" s="10"/>
      <c r="QZF63" s="10"/>
      <c r="QZG63" s="10"/>
      <c r="QZH63" s="10"/>
      <c r="QZI63" s="10"/>
      <c r="QZJ63" s="10"/>
      <c r="QZK63" s="10"/>
      <c r="QZL63" s="10"/>
      <c r="QZM63" s="10"/>
      <c r="QZN63" s="10"/>
      <c r="QZO63" s="10"/>
      <c r="QZP63" s="10"/>
      <c r="QZQ63" s="10"/>
      <c r="QZR63" s="10"/>
      <c r="QZS63" s="10"/>
      <c r="QZT63" s="10"/>
      <c r="QZU63" s="10"/>
      <c r="QZV63" s="10"/>
      <c r="QZW63" s="10"/>
      <c r="QZX63" s="10"/>
      <c r="QZY63" s="10"/>
      <c r="QZZ63" s="10"/>
      <c r="RAA63" s="10"/>
      <c r="RAB63" s="10"/>
      <c r="RAC63" s="10"/>
      <c r="RAD63" s="10"/>
      <c r="RAE63" s="10"/>
      <c r="RAF63" s="10"/>
      <c r="RAG63" s="10"/>
      <c r="RAH63" s="10"/>
      <c r="RAI63" s="10"/>
      <c r="RAJ63" s="10"/>
      <c r="RAK63" s="10"/>
      <c r="RAL63" s="10"/>
      <c r="RAM63" s="10"/>
      <c r="RAN63" s="10"/>
      <c r="RAO63" s="10"/>
      <c r="RAP63" s="10"/>
      <c r="RAQ63" s="10"/>
      <c r="RAR63" s="10"/>
      <c r="RAS63" s="10"/>
      <c r="RAT63" s="10"/>
      <c r="RAU63" s="10"/>
      <c r="RAV63" s="10"/>
      <c r="RAW63" s="10"/>
      <c r="RAX63" s="10"/>
      <c r="RAY63" s="10"/>
      <c r="RAZ63" s="10"/>
      <c r="RBA63" s="10"/>
      <c r="RBB63" s="10"/>
      <c r="RBC63" s="10"/>
      <c r="RBD63" s="10"/>
      <c r="RBE63" s="10"/>
      <c r="RBF63" s="10"/>
      <c r="RBG63" s="10"/>
      <c r="RBH63" s="10"/>
      <c r="RBI63" s="10"/>
      <c r="RBJ63" s="10"/>
      <c r="RBK63" s="10"/>
      <c r="RBL63" s="10"/>
      <c r="RBM63" s="10"/>
      <c r="RBN63" s="10"/>
      <c r="RBO63" s="10"/>
      <c r="RBP63" s="10"/>
      <c r="RBQ63" s="10"/>
      <c r="RBR63" s="10"/>
      <c r="RBS63" s="10"/>
      <c r="RBT63" s="10"/>
      <c r="RBU63" s="10"/>
      <c r="RBV63" s="10"/>
      <c r="RBW63" s="10"/>
      <c r="RBX63" s="10"/>
      <c r="RBY63" s="10"/>
      <c r="RBZ63" s="10"/>
      <c r="RCA63" s="10"/>
      <c r="RCB63" s="10"/>
      <c r="RCC63" s="10"/>
      <c r="RCD63" s="10"/>
      <c r="RCE63" s="10"/>
      <c r="RCF63" s="10"/>
      <c r="RCG63" s="10"/>
      <c r="RCH63" s="10"/>
      <c r="RCI63" s="10"/>
      <c r="RCJ63" s="10"/>
      <c r="RCK63" s="10"/>
      <c r="RCL63" s="10"/>
      <c r="RCM63" s="10"/>
      <c r="RCN63" s="10"/>
      <c r="RCO63" s="10"/>
      <c r="RCP63" s="10"/>
      <c r="RCQ63" s="10"/>
      <c r="RCR63" s="10"/>
      <c r="RCS63" s="10"/>
      <c r="RCT63" s="10"/>
      <c r="RCU63" s="10"/>
      <c r="RCV63" s="10"/>
      <c r="RCW63" s="10"/>
      <c r="RCX63" s="10"/>
      <c r="RCY63" s="10"/>
      <c r="RCZ63" s="10"/>
      <c r="RDA63" s="10"/>
      <c r="RDB63" s="10"/>
      <c r="RDC63" s="10"/>
      <c r="RDD63" s="10"/>
      <c r="RDE63" s="10"/>
      <c r="RDF63" s="10"/>
      <c r="RDG63" s="10"/>
      <c r="RDH63" s="10"/>
      <c r="RDI63" s="10"/>
      <c r="RDJ63" s="10"/>
      <c r="RDK63" s="10"/>
      <c r="RDL63" s="10"/>
      <c r="RDM63" s="10"/>
      <c r="RDN63" s="10"/>
      <c r="RDO63" s="10"/>
      <c r="RDP63" s="10"/>
      <c r="RDQ63" s="10"/>
      <c r="RDR63" s="10"/>
      <c r="RDS63" s="10"/>
      <c r="RDT63" s="10"/>
      <c r="RDU63" s="10"/>
      <c r="RDV63" s="10"/>
      <c r="RDW63" s="10"/>
      <c r="RDX63" s="10"/>
      <c r="RDY63" s="10"/>
      <c r="RDZ63" s="10"/>
      <c r="REA63" s="10"/>
      <c r="REB63" s="10"/>
      <c r="REC63" s="10"/>
      <c r="RED63" s="10"/>
      <c r="REE63" s="10"/>
      <c r="REF63" s="10"/>
      <c r="REG63" s="10"/>
      <c r="REH63" s="10"/>
      <c r="REI63" s="10"/>
      <c r="REJ63" s="10"/>
      <c r="REK63" s="10"/>
      <c r="REL63" s="10"/>
      <c r="REM63" s="10"/>
      <c r="REN63" s="10"/>
      <c r="REO63" s="10"/>
      <c r="REP63" s="10"/>
      <c r="REQ63" s="10"/>
      <c r="RER63" s="10"/>
      <c r="RES63" s="10"/>
      <c r="RET63" s="10"/>
      <c r="REU63" s="10"/>
      <c r="REV63" s="10"/>
      <c r="REW63" s="10"/>
      <c r="REX63" s="10"/>
      <c r="REY63" s="10"/>
      <c r="REZ63" s="10"/>
      <c r="RFA63" s="10"/>
      <c r="RFB63" s="10"/>
      <c r="RFC63" s="10"/>
      <c r="RFD63" s="10"/>
      <c r="RFE63" s="10"/>
      <c r="RFF63" s="10"/>
      <c r="RFG63" s="10"/>
      <c r="RFH63" s="10"/>
      <c r="RFI63" s="10"/>
      <c r="RFJ63" s="10"/>
      <c r="RFK63" s="10"/>
      <c r="RFL63" s="10"/>
      <c r="RFM63" s="10"/>
      <c r="RFN63" s="10"/>
      <c r="RFO63" s="10"/>
      <c r="RFP63" s="10"/>
      <c r="RFQ63" s="10"/>
      <c r="RFR63" s="10"/>
      <c r="RFS63" s="10"/>
      <c r="RFT63" s="10"/>
      <c r="RFU63" s="10"/>
      <c r="RFV63" s="10"/>
      <c r="RFW63" s="10"/>
      <c r="RFX63" s="10"/>
      <c r="RFY63" s="10"/>
      <c r="RFZ63" s="10"/>
      <c r="RGA63" s="10"/>
      <c r="RGB63" s="10"/>
      <c r="RGC63" s="10"/>
      <c r="RGD63" s="10"/>
      <c r="RGE63" s="10"/>
      <c r="RGF63" s="10"/>
      <c r="RGG63" s="10"/>
      <c r="RGH63" s="10"/>
      <c r="RGI63" s="10"/>
      <c r="RGJ63" s="10"/>
      <c r="RGK63" s="10"/>
      <c r="RGL63" s="10"/>
      <c r="RGM63" s="10"/>
      <c r="RGN63" s="10"/>
      <c r="RGO63" s="10"/>
      <c r="RGP63" s="10"/>
      <c r="RGQ63" s="10"/>
      <c r="RGR63" s="10"/>
      <c r="RGS63" s="10"/>
      <c r="RGT63" s="10"/>
      <c r="RGU63" s="10"/>
      <c r="RGV63" s="10"/>
      <c r="RGW63" s="10"/>
      <c r="RGX63" s="10"/>
      <c r="RGY63" s="10"/>
      <c r="RGZ63" s="10"/>
      <c r="RHA63" s="10"/>
      <c r="RHB63" s="10"/>
      <c r="RHC63" s="10"/>
      <c r="RHD63" s="10"/>
      <c r="RHE63" s="10"/>
      <c r="RHF63" s="10"/>
      <c r="RHG63" s="10"/>
      <c r="RHH63" s="10"/>
      <c r="RHI63" s="10"/>
      <c r="RHJ63" s="10"/>
      <c r="RHK63" s="10"/>
      <c r="RHL63" s="10"/>
      <c r="RHM63" s="10"/>
      <c r="RHN63" s="10"/>
      <c r="RHO63" s="10"/>
      <c r="RHP63" s="10"/>
      <c r="RHQ63" s="10"/>
      <c r="RHR63" s="10"/>
      <c r="RHS63" s="10"/>
      <c r="RHT63" s="10"/>
      <c r="RHU63" s="10"/>
      <c r="RHV63" s="10"/>
      <c r="RHW63" s="10"/>
      <c r="RHX63" s="10"/>
      <c r="RHY63" s="10"/>
      <c r="RHZ63" s="10"/>
      <c r="RIA63" s="10"/>
      <c r="RIB63" s="10"/>
      <c r="RIC63" s="10"/>
      <c r="RID63" s="10"/>
      <c r="RIE63" s="10"/>
      <c r="RIF63" s="10"/>
      <c r="RIG63" s="10"/>
      <c r="RIH63" s="10"/>
      <c r="RII63" s="10"/>
      <c r="RIJ63" s="10"/>
      <c r="RIK63" s="10"/>
      <c r="RIL63" s="10"/>
      <c r="RIM63" s="10"/>
      <c r="RIN63" s="10"/>
      <c r="RIO63" s="10"/>
      <c r="RIP63" s="10"/>
      <c r="RIQ63" s="10"/>
      <c r="RIR63" s="10"/>
      <c r="RIS63" s="10"/>
      <c r="RIT63" s="10"/>
      <c r="RIU63" s="10"/>
      <c r="RIV63" s="10"/>
      <c r="RIW63" s="10"/>
      <c r="RIX63" s="10"/>
      <c r="RIY63" s="10"/>
      <c r="RIZ63" s="10"/>
      <c r="RJA63" s="10"/>
      <c r="RJB63" s="10"/>
      <c r="RJC63" s="10"/>
      <c r="RJD63" s="10"/>
      <c r="RJE63" s="10"/>
      <c r="RJF63" s="10"/>
      <c r="RJG63" s="10"/>
      <c r="RJH63" s="10"/>
      <c r="RJI63" s="10"/>
      <c r="RJJ63" s="10"/>
      <c r="RJK63" s="10"/>
      <c r="RJL63" s="10"/>
      <c r="RJM63" s="10"/>
      <c r="RJN63" s="10"/>
      <c r="RJO63" s="10"/>
      <c r="RJP63" s="10"/>
      <c r="RJQ63" s="10"/>
      <c r="RJR63" s="10"/>
      <c r="RJS63" s="10"/>
      <c r="RJT63" s="10"/>
      <c r="RJU63" s="10"/>
      <c r="RJV63" s="10"/>
      <c r="RJW63" s="10"/>
      <c r="RJX63" s="10"/>
      <c r="RJY63" s="10"/>
      <c r="RJZ63" s="10"/>
      <c r="RKA63" s="10"/>
      <c r="RKB63" s="10"/>
      <c r="RKC63" s="10"/>
      <c r="RKD63" s="10"/>
      <c r="RKE63" s="10"/>
      <c r="RKF63" s="10"/>
      <c r="RKG63" s="10"/>
      <c r="RKH63" s="10"/>
      <c r="RKI63" s="10"/>
      <c r="RKJ63" s="10"/>
      <c r="RKK63" s="10"/>
      <c r="RKL63" s="10"/>
      <c r="RKM63" s="10"/>
      <c r="RKN63" s="10"/>
      <c r="RKO63" s="10"/>
      <c r="RKP63" s="10"/>
      <c r="RKQ63" s="10"/>
      <c r="RKR63" s="10"/>
      <c r="RKS63" s="10"/>
      <c r="RKT63" s="10"/>
      <c r="RKU63" s="10"/>
      <c r="RKV63" s="10"/>
      <c r="RKW63" s="10"/>
      <c r="RKX63" s="10"/>
      <c r="RKY63" s="10"/>
      <c r="RKZ63" s="10"/>
      <c r="RLA63" s="10"/>
      <c r="RLB63" s="10"/>
      <c r="RLC63" s="10"/>
      <c r="RLD63" s="10"/>
      <c r="RLE63" s="10"/>
      <c r="RLF63" s="10"/>
      <c r="RLG63" s="10"/>
      <c r="RLH63" s="10"/>
      <c r="RLI63" s="10"/>
      <c r="RLJ63" s="10"/>
      <c r="RLK63" s="10"/>
      <c r="RLL63" s="10"/>
      <c r="RLM63" s="10"/>
      <c r="RLN63" s="10"/>
      <c r="RLO63" s="10"/>
      <c r="RLP63" s="10"/>
      <c r="RLQ63" s="10"/>
      <c r="RLR63" s="10"/>
      <c r="RLS63" s="10"/>
      <c r="RLT63" s="10"/>
      <c r="RLU63" s="10"/>
      <c r="RLV63" s="10"/>
      <c r="RLW63" s="10"/>
      <c r="RLX63" s="10"/>
      <c r="RLY63" s="10"/>
      <c r="RLZ63" s="10"/>
      <c r="RMA63" s="10"/>
      <c r="RMB63" s="10"/>
      <c r="RMC63" s="10"/>
      <c r="RMD63" s="10"/>
      <c r="RME63" s="10"/>
      <c r="RMF63" s="10"/>
      <c r="RMG63" s="10"/>
      <c r="RMH63" s="10"/>
      <c r="RMI63" s="10"/>
      <c r="RMJ63" s="10"/>
      <c r="RMK63" s="10"/>
      <c r="RML63" s="10"/>
      <c r="RMM63" s="10"/>
      <c r="RMN63" s="10"/>
      <c r="RMO63" s="10"/>
      <c r="RMP63" s="10"/>
      <c r="RMQ63" s="10"/>
      <c r="RMR63" s="10"/>
      <c r="RMS63" s="10"/>
      <c r="RMT63" s="10"/>
      <c r="RMU63" s="10"/>
      <c r="RMV63" s="10"/>
      <c r="RMW63" s="10"/>
      <c r="RMX63" s="10"/>
      <c r="RMY63" s="10"/>
      <c r="RMZ63" s="10"/>
      <c r="RNA63" s="10"/>
      <c r="RNB63" s="10"/>
      <c r="RNC63" s="10"/>
      <c r="RND63" s="10"/>
      <c r="RNE63" s="10"/>
      <c r="RNF63" s="10"/>
      <c r="RNG63" s="10"/>
      <c r="RNH63" s="10"/>
      <c r="RNI63" s="10"/>
      <c r="RNJ63" s="10"/>
      <c r="RNK63" s="10"/>
      <c r="RNL63" s="10"/>
      <c r="RNM63" s="10"/>
      <c r="RNN63" s="10"/>
      <c r="RNO63" s="10"/>
      <c r="RNP63" s="10"/>
      <c r="RNQ63" s="10"/>
      <c r="RNR63" s="10"/>
      <c r="RNS63" s="10"/>
      <c r="RNT63" s="10"/>
      <c r="RNU63" s="10"/>
      <c r="RNV63" s="10"/>
      <c r="RNW63" s="10"/>
      <c r="RNX63" s="10"/>
      <c r="RNY63" s="10"/>
      <c r="RNZ63" s="10"/>
      <c r="ROA63" s="10"/>
      <c r="ROB63" s="10"/>
      <c r="ROC63" s="10"/>
      <c r="ROD63" s="10"/>
      <c r="ROE63" s="10"/>
      <c r="ROF63" s="10"/>
      <c r="ROG63" s="10"/>
      <c r="ROH63" s="10"/>
      <c r="ROI63" s="10"/>
      <c r="ROJ63" s="10"/>
      <c r="ROK63" s="10"/>
      <c r="ROL63" s="10"/>
      <c r="ROM63" s="10"/>
      <c r="RON63" s="10"/>
      <c r="ROO63" s="10"/>
      <c r="ROP63" s="10"/>
      <c r="ROQ63" s="10"/>
      <c r="ROR63" s="10"/>
      <c r="ROS63" s="10"/>
      <c r="ROT63" s="10"/>
      <c r="ROU63" s="10"/>
      <c r="ROV63" s="10"/>
      <c r="ROW63" s="10"/>
      <c r="ROX63" s="10"/>
      <c r="ROY63" s="10"/>
      <c r="ROZ63" s="10"/>
      <c r="RPA63" s="10"/>
      <c r="RPB63" s="10"/>
      <c r="RPC63" s="10"/>
      <c r="RPD63" s="10"/>
      <c r="RPE63" s="10"/>
      <c r="RPF63" s="10"/>
      <c r="RPG63" s="10"/>
      <c r="RPH63" s="10"/>
      <c r="RPI63" s="10"/>
      <c r="RPJ63" s="10"/>
      <c r="RPK63" s="10"/>
      <c r="RPL63" s="10"/>
      <c r="RPM63" s="10"/>
      <c r="RPN63" s="10"/>
      <c r="RPO63" s="10"/>
      <c r="RPP63" s="10"/>
      <c r="RPQ63" s="10"/>
      <c r="RPR63" s="10"/>
      <c r="RPS63" s="10"/>
      <c r="RPT63" s="10"/>
      <c r="RPU63" s="10"/>
      <c r="RPV63" s="10"/>
      <c r="RPW63" s="10"/>
      <c r="RPX63" s="10"/>
      <c r="RPY63" s="10"/>
      <c r="RPZ63" s="10"/>
      <c r="RQA63" s="10"/>
      <c r="RQB63" s="10"/>
      <c r="RQC63" s="10"/>
      <c r="RQD63" s="10"/>
      <c r="RQE63" s="10"/>
      <c r="RQF63" s="10"/>
      <c r="RQG63" s="10"/>
      <c r="RQH63" s="10"/>
      <c r="RQI63" s="10"/>
      <c r="RQJ63" s="10"/>
      <c r="RQK63" s="10"/>
      <c r="RQL63" s="10"/>
      <c r="RQM63" s="10"/>
      <c r="RQN63" s="10"/>
      <c r="RQO63" s="10"/>
      <c r="RQP63" s="10"/>
      <c r="RQQ63" s="10"/>
      <c r="RQR63" s="10"/>
      <c r="RQS63" s="10"/>
      <c r="RQT63" s="10"/>
      <c r="RQU63" s="10"/>
      <c r="RQV63" s="10"/>
      <c r="RQW63" s="10"/>
      <c r="RQX63" s="10"/>
      <c r="RQY63" s="10"/>
      <c r="RQZ63" s="10"/>
      <c r="RRA63" s="10"/>
      <c r="RRB63" s="10"/>
      <c r="RRC63" s="10"/>
      <c r="RRD63" s="10"/>
      <c r="RRE63" s="10"/>
      <c r="RRF63" s="10"/>
      <c r="RRG63" s="10"/>
      <c r="RRH63" s="10"/>
      <c r="RRI63" s="10"/>
      <c r="RRJ63" s="10"/>
      <c r="RRK63" s="10"/>
      <c r="RRL63" s="10"/>
      <c r="RRM63" s="10"/>
      <c r="RRN63" s="10"/>
      <c r="RRO63" s="10"/>
      <c r="RRP63" s="10"/>
      <c r="RRQ63" s="10"/>
      <c r="RRR63" s="10"/>
      <c r="RRS63" s="10"/>
      <c r="RRT63" s="10"/>
      <c r="RRU63" s="10"/>
      <c r="RRV63" s="10"/>
      <c r="RRW63" s="10"/>
      <c r="RRX63" s="10"/>
      <c r="RRY63" s="10"/>
      <c r="RRZ63" s="10"/>
      <c r="RSA63" s="10"/>
      <c r="RSB63" s="10"/>
      <c r="RSC63" s="10"/>
      <c r="RSD63" s="10"/>
      <c r="RSE63" s="10"/>
      <c r="RSF63" s="10"/>
      <c r="RSG63" s="10"/>
      <c r="RSH63" s="10"/>
      <c r="RSI63" s="10"/>
      <c r="RSJ63" s="10"/>
      <c r="RSK63" s="10"/>
      <c r="RSL63" s="10"/>
      <c r="RSM63" s="10"/>
      <c r="RSN63" s="10"/>
      <c r="RSO63" s="10"/>
      <c r="RSP63" s="10"/>
      <c r="RSQ63" s="10"/>
      <c r="RSR63" s="10"/>
      <c r="RSS63" s="10"/>
      <c r="RST63" s="10"/>
      <c r="RSU63" s="10"/>
      <c r="RSV63" s="10"/>
      <c r="RSW63" s="10"/>
      <c r="RSX63" s="10"/>
      <c r="RSY63" s="10"/>
      <c r="RSZ63" s="10"/>
      <c r="RTA63" s="10"/>
      <c r="RTB63" s="10"/>
      <c r="RTC63" s="10"/>
      <c r="RTD63" s="10"/>
      <c r="RTE63" s="10"/>
      <c r="RTF63" s="10"/>
      <c r="RTG63" s="10"/>
      <c r="RTH63" s="10"/>
      <c r="RTI63" s="10"/>
      <c r="RTJ63" s="10"/>
      <c r="RTK63" s="10"/>
      <c r="RTL63" s="10"/>
      <c r="RTM63" s="10"/>
      <c r="RTN63" s="10"/>
      <c r="RTO63" s="10"/>
      <c r="RTP63" s="10"/>
      <c r="RTQ63" s="10"/>
      <c r="RTR63" s="10"/>
      <c r="RTS63" s="10"/>
      <c r="RTT63" s="10"/>
      <c r="RTU63" s="10"/>
      <c r="RTV63" s="10"/>
      <c r="RTW63" s="10"/>
      <c r="RTX63" s="10"/>
      <c r="RTY63" s="10"/>
      <c r="RTZ63" s="10"/>
      <c r="RUA63" s="10"/>
      <c r="RUB63" s="10"/>
      <c r="RUC63" s="10"/>
      <c r="RUD63" s="10"/>
      <c r="RUE63" s="10"/>
      <c r="RUF63" s="10"/>
      <c r="RUG63" s="10"/>
      <c r="RUH63" s="10"/>
      <c r="RUI63" s="10"/>
      <c r="RUJ63" s="10"/>
      <c r="RUK63" s="10"/>
      <c r="RUL63" s="10"/>
      <c r="RUM63" s="10"/>
      <c r="RUN63" s="10"/>
      <c r="RUO63" s="10"/>
      <c r="RUP63" s="10"/>
      <c r="RUQ63" s="10"/>
      <c r="RUR63" s="10"/>
      <c r="RUS63" s="10"/>
      <c r="RUT63" s="10"/>
      <c r="RUU63" s="10"/>
      <c r="RUV63" s="10"/>
      <c r="RUW63" s="10"/>
      <c r="RUX63" s="10"/>
      <c r="RUY63" s="10"/>
      <c r="RUZ63" s="10"/>
      <c r="RVA63" s="10"/>
      <c r="RVB63" s="10"/>
      <c r="RVC63" s="10"/>
      <c r="RVD63" s="10"/>
      <c r="RVE63" s="10"/>
      <c r="RVF63" s="10"/>
      <c r="RVG63" s="10"/>
      <c r="RVH63" s="10"/>
      <c r="RVI63" s="10"/>
      <c r="RVJ63" s="10"/>
      <c r="RVK63" s="10"/>
      <c r="RVL63" s="10"/>
      <c r="RVM63" s="10"/>
      <c r="RVN63" s="10"/>
      <c r="RVO63" s="10"/>
      <c r="RVP63" s="10"/>
      <c r="RVQ63" s="10"/>
      <c r="RVR63" s="10"/>
      <c r="RVS63" s="10"/>
      <c r="RVT63" s="10"/>
      <c r="RVU63" s="10"/>
      <c r="RVV63" s="10"/>
      <c r="RVW63" s="10"/>
      <c r="RVX63" s="10"/>
      <c r="RVY63" s="10"/>
      <c r="RVZ63" s="10"/>
      <c r="RWA63" s="10"/>
      <c r="RWB63" s="10"/>
      <c r="RWC63" s="10"/>
      <c r="RWD63" s="10"/>
      <c r="RWE63" s="10"/>
      <c r="RWF63" s="10"/>
      <c r="RWG63" s="10"/>
      <c r="RWH63" s="10"/>
      <c r="RWI63" s="10"/>
      <c r="RWJ63" s="10"/>
      <c r="RWK63" s="10"/>
      <c r="RWL63" s="10"/>
      <c r="RWM63" s="10"/>
      <c r="RWN63" s="10"/>
      <c r="RWO63" s="10"/>
      <c r="RWP63" s="10"/>
      <c r="RWQ63" s="10"/>
      <c r="RWR63" s="10"/>
      <c r="RWS63" s="10"/>
      <c r="RWT63" s="10"/>
      <c r="RWU63" s="10"/>
      <c r="RWV63" s="10"/>
      <c r="RWW63" s="10"/>
      <c r="RWX63" s="10"/>
      <c r="RWY63" s="10"/>
      <c r="RWZ63" s="10"/>
      <c r="RXA63" s="10"/>
      <c r="RXB63" s="10"/>
      <c r="RXC63" s="10"/>
      <c r="RXD63" s="10"/>
      <c r="RXE63" s="10"/>
      <c r="RXF63" s="10"/>
      <c r="RXG63" s="10"/>
      <c r="RXH63" s="10"/>
      <c r="RXI63" s="10"/>
      <c r="RXJ63" s="10"/>
      <c r="RXK63" s="10"/>
      <c r="RXL63" s="10"/>
      <c r="RXM63" s="10"/>
      <c r="RXN63" s="10"/>
      <c r="RXO63" s="10"/>
      <c r="RXP63" s="10"/>
      <c r="RXQ63" s="10"/>
      <c r="RXR63" s="10"/>
      <c r="RXS63" s="10"/>
      <c r="RXT63" s="10"/>
      <c r="RXU63" s="10"/>
      <c r="RXV63" s="10"/>
      <c r="RXW63" s="10"/>
      <c r="RXX63" s="10"/>
      <c r="RXY63" s="10"/>
      <c r="RXZ63" s="10"/>
      <c r="RYA63" s="10"/>
      <c r="RYB63" s="10"/>
      <c r="RYC63" s="10"/>
      <c r="RYD63" s="10"/>
      <c r="RYE63" s="10"/>
      <c r="RYF63" s="10"/>
      <c r="RYG63" s="10"/>
      <c r="RYH63" s="10"/>
      <c r="RYI63" s="10"/>
      <c r="RYJ63" s="10"/>
      <c r="RYK63" s="10"/>
      <c r="RYL63" s="10"/>
      <c r="RYM63" s="10"/>
      <c r="RYN63" s="10"/>
      <c r="RYO63" s="10"/>
      <c r="RYP63" s="10"/>
      <c r="RYQ63" s="10"/>
      <c r="RYR63" s="10"/>
      <c r="RYS63" s="10"/>
      <c r="RYT63" s="10"/>
      <c r="RYU63" s="10"/>
      <c r="RYV63" s="10"/>
      <c r="RYW63" s="10"/>
      <c r="RYX63" s="10"/>
      <c r="RYY63" s="10"/>
      <c r="RYZ63" s="10"/>
      <c r="RZA63" s="10"/>
      <c r="RZB63" s="10"/>
      <c r="RZC63" s="10"/>
      <c r="RZD63" s="10"/>
      <c r="RZE63" s="10"/>
      <c r="RZF63" s="10"/>
      <c r="RZG63" s="10"/>
      <c r="RZH63" s="10"/>
      <c r="RZI63" s="10"/>
      <c r="RZJ63" s="10"/>
      <c r="RZK63" s="10"/>
      <c r="RZL63" s="10"/>
      <c r="RZM63" s="10"/>
      <c r="RZN63" s="10"/>
      <c r="RZO63" s="10"/>
      <c r="RZP63" s="10"/>
      <c r="RZQ63" s="10"/>
      <c r="RZR63" s="10"/>
      <c r="RZS63" s="10"/>
      <c r="RZT63" s="10"/>
      <c r="RZU63" s="10"/>
      <c r="RZV63" s="10"/>
      <c r="RZW63" s="10"/>
      <c r="RZX63" s="10"/>
      <c r="RZY63" s="10"/>
      <c r="RZZ63" s="10"/>
      <c r="SAA63" s="10"/>
      <c r="SAB63" s="10"/>
      <c r="SAC63" s="10"/>
      <c r="SAD63" s="10"/>
      <c r="SAE63" s="10"/>
      <c r="SAF63" s="10"/>
      <c r="SAG63" s="10"/>
      <c r="SAH63" s="10"/>
      <c r="SAI63" s="10"/>
      <c r="SAJ63" s="10"/>
      <c r="SAK63" s="10"/>
      <c r="SAL63" s="10"/>
      <c r="SAM63" s="10"/>
      <c r="SAN63" s="10"/>
      <c r="SAO63" s="10"/>
      <c r="SAP63" s="10"/>
      <c r="SAQ63" s="10"/>
      <c r="SAR63" s="10"/>
      <c r="SAS63" s="10"/>
      <c r="SAT63" s="10"/>
      <c r="SAU63" s="10"/>
      <c r="SAV63" s="10"/>
      <c r="SAW63" s="10"/>
      <c r="SAX63" s="10"/>
      <c r="SAY63" s="10"/>
      <c r="SAZ63" s="10"/>
      <c r="SBA63" s="10"/>
      <c r="SBB63" s="10"/>
      <c r="SBC63" s="10"/>
      <c r="SBD63" s="10"/>
      <c r="SBE63" s="10"/>
      <c r="SBF63" s="10"/>
      <c r="SBG63" s="10"/>
      <c r="SBH63" s="10"/>
      <c r="SBI63" s="10"/>
      <c r="SBJ63" s="10"/>
      <c r="SBK63" s="10"/>
      <c r="SBL63" s="10"/>
      <c r="SBM63" s="10"/>
      <c r="SBN63" s="10"/>
      <c r="SBO63" s="10"/>
      <c r="SBP63" s="10"/>
      <c r="SBQ63" s="10"/>
      <c r="SBR63" s="10"/>
      <c r="SBS63" s="10"/>
      <c r="SBT63" s="10"/>
      <c r="SBU63" s="10"/>
      <c r="SBV63" s="10"/>
      <c r="SBW63" s="10"/>
      <c r="SBX63" s="10"/>
      <c r="SBY63" s="10"/>
      <c r="SBZ63" s="10"/>
      <c r="SCA63" s="10"/>
      <c r="SCB63" s="10"/>
      <c r="SCC63" s="10"/>
      <c r="SCD63" s="10"/>
      <c r="SCE63" s="10"/>
      <c r="SCF63" s="10"/>
      <c r="SCG63" s="10"/>
      <c r="SCH63" s="10"/>
      <c r="SCI63" s="10"/>
      <c r="SCJ63" s="10"/>
      <c r="SCK63" s="10"/>
      <c r="SCL63" s="10"/>
      <c r="SCM63" s="10"/>
      <c r="SCN63" s="10"/>
      <c r="SCO63" s="10"/>
      <c r="SCP63" s="10"/>
      <c r="SCQ63" s="10"/>
      <c r="SCR63" s="10"/>
      <c r="SCS63" s="10"/>
      <c r="SCT63" s="10"/>
      <c r="SCU63" s="10"/>
      <c r="SCV63" s="10"/>
      <c r="SCW63" s="10"/>
      <c r="SCX63" s="10"/>
      <c r="SCY63" s="10"/>
      <c r="SCZ63" s="10"/>
      <c r="SDA63" s="10"/>
      <c r="SDB63" s="10"/>
      <c r="SDC63" s="10"/>
      <c r="SDD63" s="10"/>
      <c r="SDE63" s="10"/>
      <c r="SDF63" s="10"/>
      <c r="SDG63" s="10"/>
      <c r="SDH63" s="10"/>
      <c r="SDI63" s="10"/>
      <c r="SDJ63" s="10"/>
      <c r="SDK63" s="10"/>
      <c r="SDL63" s="10"/>
      <c r="SDM63" s="10"/>
      <c r="SDN63" s="10"/>
      <c r="SDO63" s="10"/>
      <c r="SDP63" s="10"/>
      <c r="SDQ63" s="10"/>
      <c r="SDR63" s="10"/>
      <c r="SDS63" s="10"/>
      <c r="SDT63" s="10"/>
      <c r="SDU63" s="10"/>
      <c r="SDV63" s="10"/>
      <c r="SDW63" s="10"/>
      <c r="SDX63" s="10"/>
      <c r="SDY63" s="10"/>
      <c r="SDZ63" s="10"/>
      <c r="SEA63" s="10"/>
      <c r="SEB63" s="10"/>
      <c r="SEC63" s="10"/>
      <c r="SED63" s="10"/>
      <c r="SEE63" s="10"/>
      <c r="SEF63" s="10"/>
      <c r="SEG63" s="10"/>
      <c r="SEH63" s="10"/>
      <c r="SEI63" s="10"/>
      <c r="SEJ63" s="10"/>
      <c r="SEK63" s="10"/>
      <c r="SEL63" s="10"/>
      <c r="SEM63" s="10"/>
      <c r="SEN63" s="10"/>
      <c r="SEO63" s="10"/>
      <c r="SEP63" s="10"/>
      <c r="SEQ63" s="10"/>
      <c r="SER63" s="10"/>
      <c r="SES63" s="10"/>
      <c r="SET63" s="10"/>
      <c r="SEU63" s="10"/>
      <c r="SEV63" s="10"/>
      <c r="SEW63" s="10"/>
      <c r="SEX63" s="10"/>
      <c r="SEY63" s="10"/>
      <c r="SEZ63" s="10"/>
      <c r="SFA63" s="10"/>
      <c r="SFB63" s="10"/>
      <c r="SFC63" s="10"/>
      <c r="SFD63" s="10"/>
      <c r="SFE63" s="10"/>
      <c r="SFF63" s="10"/>
      <c r="SFG63" s="10"/>
      <c r="SFH63" s="10"/>
      <c r="SFI63" s="10"/>
      <c r="SFJ63" s="10"/>
      <c r="SFK63" s="10"/>
      <c r="SFL63" s="10"/>
      <c r="SFM63" s="10"/>
      <c r="SFN63" s="10"/>
      <c r="SFO63" s="10"/>
      <c r="SFP63" s="10"/>
      <c r="SFQ63" s="10"/>
      <c r="SFR63" s="10"/>
      <c r="SFS63" s="10"/>
      <c r="SFT63" s="10"/>
      <c r="SFU63" s="10"/>
      <c r="SFV63" s="10"/>
      <c r="SFW63" s="10"/>
      <c r="SFX63" s="10"/>
      <c r="SFY63" s="10"/>
      <c r="SFZ63" s="10"/>
      <c r="SGA63" s="10"/>
      <c r="SGB63" s="10"/>
      <c r="SGC63" s="10"/>
      <c r="SGD63" s="10"/>
      <c r="SGE63" s="10"/>
      <c r="SGF63" s="10"/>
      <c r="SGG63" s="10"/>
      <c r="SGH63" s="10"/>
      <c r="SGI63" s="10"/>
      <c r="SGJ63" s="10"/>
      <c r="SGK63" s="10"/>
      <c r="SGL63" s="10"/>
      <c r="SGM63" s="10"/>
      <c r="SGN63" s="10"/>
      <c r="SGO63" s="10"/>
      <c r="SGP63" s="10"/>
      <c r="SGQ63" s="10"/>
      <c r="SGR63" s="10"/>
      <c r="SGS63" s="10"/>
      <c r="SGT63" s="10"/>
      <c r="SGU63" s="10"/>
      <c r="SGV63" s="10"/>
      <c r="SGW63" s="10"/>
      <c r="SGX63" s="10"/>
      <c r="SGY63" s="10"/>
      <c r="SGZ63" s="10"/>
      <c r="SHA63" s="10"/>
      <c r="SHB63" s="10"/>
      <c r="SHC63" s="10"/>
      <c r="SHD63" s="10"/>
      <c r="SHE63" s="10"/>
      <c r="SHF63" s="10"/>
      <c r="SHG63" s="10"/>
      <c r="SHH63" s="10"/>
      <c r="SHI63" s="10"/>
      <c r="SHJ63" s="10"/>
      <c r="SHK63" s="10"/>
      <c r="SHL63" s="10"/>
      <c r="SHM63" s="10"/>
      <c r="SHN63" s="10"/>
      <c r="SHO63" s="10"/>
      <c r="SHP63" s="10"/>
      <c r="SHQ63" s="10"/>
      <c r="SHR63" s="10"/>
      <c r="SHS63" s="10"/>
      <c r="SHT63" s="10"/>
      <c r="SHU63" s="10"/>
      <c r="SHV63" s="10"/>
      <c r="SHW63" s="10"/>
      <c r="SHX63" s="10"/>
      <c r="SHY63" s="10"/>
      <c r="SHZ63" s="10"/>
      <c r="SIA63" s="10"/>
      <c r="SIB63" s="10"/>
      <c r="SIC63" s="10"/>
      <c r="SID63" s="10"/>
      <c r="SIE63" s="10"/>
      <c r="SIF63" s="10"/>
      <c r="SIG63" s="10"/>
      <c r="SIH63" s="10"/>
      <c r="SII63" s="10"/>
      <c r="SIJ63" s="10"/>
      <c r="SIK63" s="10"/>
      <c r="SIL63" s="10"/>
      <c r="SIM63" s="10"/>
      <c r="SIN63" s="10"/>
      <c r="SIO63" s="10"/>
      <c r="SIP63" s="10"/>
      <c r="SIQ63" s="10"/>
      <c r="SIR63" s="10"/>
      <c r="SIS63" s="10"/>
      <c r="SIT63" s="10"/>
      <c r="SIU63" s="10"/>
      <c r="SIV63" s="10"/>
      <c r="SIW63" s="10"/>
      <c r="SIX63" s="10"/>
      <c r="SIY63" s="10"/>
      <c r="SIZ63" s="10"/>
      <c r="SJA63" s="10"/>
      <c r="SJB63" s="10"/>
      <c r="SJC63" s="10"/>
      <c r="SJD63" s="10"/>
      <c r="SJE63" s="10"/>
      <c r="SJF63" s="10"/>
      <c r="SJG63" s="10"/>
      <c r="SJH63" s="10"/>
      <c r="SJI63" s="10"/>
      <c r="SJJ63" s="10"/>
      <c r="SJK63" s="10"/>
      <c r="SJL63" s="10"/>
      <c r="SJM63" s="10"/>
      <c r="SJN63" s="10"/>
      <c r="SJO63" s="10"/>
      <c r="SJP63" s="10"/>
      <c r="SJQ63" s="10"/>
      <c r="SJR63" s="10"/>
      <c r="SJS63" s="10"/>
      <c r="SJT63" s="10"/>
      <c r="SJU63" s="10"/>
      <c r="SJV63" s="10"/>
      <c r="SJW63" s="10"/>
      <c r="SJX63" s="10"/>
      <c r="SJY63" s="10"/>
      <c r="SJZ63" s="10"/>
      <c r="SKA63" s="10"/>
      <c r="SKB63" s="10"/>
      <c r="SKC63" s="10"/>
      <c r="SKD63" s="10"/>
      <c r="SKE63" s="10"/>
      <c r="SKF63" s="10"/>
      <c r="SKG63" s="10"/>
      <c r="SKH63" s="10"/>
      <c r="SKI63" s="10"/>
      <c r="SKJ63" s="10"/>
      <c r="SKK63" s="10"/>
      <c r="SKL63" s="10"/>
      <c r="SKM63" s="10"/>
      <c r="SKN63" s="10"/>
      <c r="SKO63" s="10"/>
      <c r="SKP63" s="10"/>
      <c r="SKQ63" s="10"/>
      <c r="SKR63" s="10"/>
      <c r="SKS63" s="10"/>
      <c r="SKT63" s="10"/>
      <c r="SKU63" s="10"/>
      <c r="SKV63" s="10"/>
      <c r="SKW63" s="10"/>
      <c r="SKX63" s="10"/>
      <c r="SKY63" s="10"/>
      <c r="SKZ63" s="10"/>
      <c r="SLA63" s="10"/>
      <c r="SLB63" s="10"/>
      <c r="SLC63" s="10"/>
      <c r="SLD63" s="10"/>
      <c r="SLE63" s="10"/>
      <c r="SLF63" s="10"/>
      <c r="SLG63" s="10"/>
      <c r="SLH63" s="10"/>
      <c r="SLI63" s="10"/>
      <c r="SLJ63" s="10"/>
      <c r="SLK63" s="10"/>
      <c r="SLL63" s="10"/>
      <c r="SLM63" s="10"/>
      <c r="SLN63" s="10"/>
      <c r="SLO63" s="10"/>
      <c r="SLP63" s="10"/>
      <c r="SLQ63" s="10"/>
      <c r="SLR63" s="10"/>
      <c r="SLS63" s="10"/>
      <c r="SLT63" s="10"/>
      <c r="SLU63" s="10"/>
      <c r="SLV63" s="10"/>
      <c r="SLW63" s="10"/>
      <c r="SLX63" s="10"/>
      <c r="SLY63" s="10"/>
      <c r="SLZ63" s="10"/>
      <c r="SMA63" s="10"/>
      <c r="SMB63" s="10"/>
      <c r="SMC63" s="10"/>
      <c r="SMD63" s="10"/>
      <c r="SME63" s="10"/>
      <c r="SMF63" s="10"/>
      <c r="SMG63" s="10"/>
      <c r="SMH63" s="10"/>
      <c r="SMI63" s="10"/>
      <c r="SMJ63" s="10"/>
      <c r="SMK63" s="10"/>
      <c r="SML63" s="10"/>
      <c r="SMM63" s="10"/>
      <c r="SMN63" s="10"/>
      <c r="SMO63" s="10"/>
      <c r="SMP63" s="10"/>
      <c r="SMQ63" s="10"/>
      <c r="SMR63" s="10"/>
      <c r="SMS63" s="10"/>
      <c r="SMT63" s="10"/>
      <c r="SMU63" s="10"/>
      <c r="SMV63" s="10"/>
      <c r="SMW63" s="10"/>
      <c r="SMX63" s="10"/>
      <c r="SMY63" s="10"/>
      <c r="SMZ63" s="10"/>
      <c r="SNA63" s="10"/>
      <c r="SNB63" s="10"/>
      <c r="SNC63" s="10"/>
      <c r="SND63" s="10"/>
      <c r="SNE63" s="10"/>
      <c r="SNF63" s="10"/>
      <c r="SNG63" s="10"/>
      <c r="SNH63" s="10"/>
      <c r="SNI63" s="10"/>
      <c r="SNJ63" s="10"/>
      <c r="SNK63" s="10"/>
      <c r="SNL63" s="10"/>
      <c r="SNM63" s="10"/>
      <c r="SNN63" s="10"/>
      <c r="SNO63" s="10"/>
      <c r="SNP63" s="10"/>
      <c r="SNQ63" s="10"/>
      <c r="SNR63" s="10"/>
      <c r="SNS63" s="10"/>
      <c r="SNT63" s="10"/>
      <c r="SNU63" s="10"/>
      <c r="SNV63" s="10"/>
      <c r="SNW63" s="10"/>
      <c r="SNX63" s="10"/>
      <c r="SNY63" s="10"/>
      <c r="SNZ63" s="10"/>
      <c r="SOA63" s="10"/>
      <c r="SOB63" s="10"/>
      <c r="SOC63" s="10"/>
      <c r="SOD63" s="10"/>
      <c r="SOE63" s="10"/>
      <c r="SOF63" s="10"/>
      <c r="SOG63" s="10"/>
      <c r="SOH63" s="10"/>
      <c r="SOI63" s="10"/>
      <c r="SOJ63" s="10"/>
      <c r="SOK63" s="10"/>
      <c r="SOL63" s="10"/>
      <c r="SOM63" s="10"/>
      <c r="SON63" s="10"/>
      <c r="SOO63" s="10"/>
      <c r="SOP63" s="10"/>
      <c r="SOQ63" s="10"/>
      <c r="SOR63" s="10"/>
      <c r="SOS63" s="10"/>
      <c r="SOT63" s="10"/>
      <c r="SOU63" s="10"/>
      <c r="SOV63" s="10"/>
      <c r="SOW63" s="10"/>
      <c r="SOX63" s="10"/>
      <c r="SOY63" s="10"/>
      <c r="SOZ63" s="10"/>
      <c r="SPA63" s="10"/>
      <c r="SPB63" s="10"/>
      <c r="SPC63" s="10"/>
      <c r="SPD63" s="10"/>
      <c r="SPE63" s="10"/>
      <c r="SPF63" s="10"/>
      <c r="SPG63" s="10"/>
      <c r="SPH63" s="10"/>
      <c r="SPI63" s="10"/>
      <c r="SPJ63" s="10"/>
      <c r="SPK63" s="10"/>
      <c r="SPL63" s="10"/>
      <c r="SPM63" s="10"/>
      <c r="SPN63" s="10"/>
      <c r="SPO63" s="10"/>
      <c r="SPP63" s="10"/>
      <c r="SPQ63" s="10"/>
      <c r="SPR63" s="10"/>
      <c r="SPS63" s="10"/>
      <c r="SPT63" s="10"/>
      <c r="SPU63" s="10"/>
      <c r="SPV63" s="10"/>
      <c r="SPW63" s="10"/>
      <c r="SPX63" s="10"/>
      <c r="SPY63" s="10"/>
      <c r="SPZ63" s="10"/>
      <c r="SQA63" s="10"/>
      <c r="SQB63" s="10"/>
      <c r="SQC63" s="10"/>
      <c r="SQD63" s="10"/>
      <c r="SQE63" s="10"/>
      <c r="SQF63" s="10"/>
      <c r="SQG63" s="10"/>
      <c r="SQH63" s="10"/>
      <c r="SQI63" s="10"/>
      <c r="SQJ63" s="10"/>
      <c r="SQK63" s="10"/>
      <c r="SQL63" s="10"/>
      <c r="SQM63" s="10"/>
      <c r="SQN63" s="10"/>
      <c r="SQO63" s="10"/>
      <c r="SQP63" s="10"/>
      <c r="SQQ63" s="10"/>
      <c r="SQR63" s="10"/>
      <c r="SQS63" s="10"/>
      <c r="SQT63" s="10"/>
      <c r="SQU63" s="10"/>
      <c r="SQV63" s="10"/>
      <c r="SQW63" s="10"/>
      <c r="SQX63" s="10"/>
      <c r="SQY63" s="10"/>
      <c r="SQZ63" s="10"/>
      <c r="SRA63" s="10"/>
      <c r="SRB63" s="10"/>
      <c r="SRC63" s="10"/>
      <c r="SRD63" s="10"/>
      <c r="SRE63" s="10"/>
      <c r="SRF63" s="10"/>
      <c r="SRG63" s="10"/>
      <c r="SRH63" s="10"/>
      <c r="SRI63" s="10"/>
      <c r="SRJ63" s="10"/>
      <c r="SRK63" s="10"/>
      <c r="SRL63" s="10"/>
      <c r="SRM63" s="10"/>
      <c r="SRN63" s="10"/>
      <c r="SRO63" s="10"/>
      <c r="SRP63" s="10"/>
      <c r="SRQ63" s="10"/>
      <c r="SRR63" s="10"/>
      <c r="SRS63" s="10"/>
      <c r="SRT63" s="10"/>
      <c r="SRU63" s="10"/>
      <c r="SRV63" s="10"/>
      <c r="SRW63" s="10"/>
      <c r="SRX63" s="10"/>
      <c r="SRY63" s="10"/>
      <c r="SRZ63" s="10"/>
      <c r="SSA63" s="10"/>
      <c r="SSB63" s="10"/>
      <c r="SSC63" s="10"/>
      <c r="SSD63" s="10"/>
      <c r="SSE63" s="10"/>
      <c r="SSF63" s="10"/>
      <c r="SSG63" s="10"/>
      <c r="SSH63" s="10"/>
      <c r="SSI63" s="10"/>
      <c r="SSJ63" s="10"/>
      <c r="SSK63" s="10"/>
      <c r="SSL63" s="10"/>
      <c r="SSM63" s="10"/>
      <c r="SSN63" s="10"/>
      <c r="SSO63" s="10"/>
      <c r="SSP63" s="10"/>
      <c r="SSQ63" s="10"/>
      <c r="SSR63" s="10"/>
      <c r="SSS63" s="10"/>
      <c r="SST63" s="10"/>
      <c r="SSU63" s="10"/>
      <c r="SSV63" s="10"/>
      <c r="SSW63" s="10"/>
      <c r="SSX63" s="10"/>
      <c r="SSY63" s="10"/>
      <c r="SSZ63" s="10"/>
      <c r="STA63" s="10"/>
      <c r="STB63" s="10"/>
      <c r="STC63" s="10"/>
      <c r="STD63" s="10"/>
      <c r="STE63" s="10"/>
      <c r="STF63" s="10"/>
      <c r="STG63" s="10"/>
      <c r="STH63" s="10"/>
      <c r="STI63" s="10"/>
      <c r="STJ63" s="10"/>
      <c r="STK63" s="10"/>
      <c r="STL63" s="10"/>
      <c r="STM63" s="10"/>
      <c r="STN63" s="10"/>
      <c r="STO63" s="10"/>
      <c r="STP63" s="10"/>
      <c r="STQ63" s="10"/>
      <c r="STR63" s="10"/>
      <c r="STS63" s="10"/>
      <c r="STT63" s="10"/>
      <c r="STU63" s="10"/>
      <c r="STV63" s="10"/>
      <c r="STW63" s="10"/>
      <c r="STX63" s="10"/>
      <c r="STY63" s="10"/>
      <c r="STZ63" s="10"/>
      <c r="SUA63" s="10"/>
      <c r="SUB63" s="10"/>
      <c r="SUC63" s="10"/>
      <c r="SUD63" s="10"/>
      <c r="SUE63" s="10"/>
      <c r="SUF63" s="10"/>
      <c r="SUG63" s="10"/>
      <c r="SUH63" s="10"/>
      <c r="SUI63" s="10"/>
      <c r="SUJ63" s="10"/>
      <c r="SUK63" s="10"/>
      <c r="SUL63" s="10"/>
      <c r="SUM63" s="10"/>
      <c r="SUN63" s="10"/>
      <c r="SUO63" s="10"/>
      <c r="SUP63" s="10"/>
      <c r="SUQ63" s="10"/>
      <c r="SUR63" s="10"/>
      <c r="SUS63" s="10"/>
      <c r="SUT63" s="10"/>
      <c r="SUU63" s="10"/>
      <c r="SUV63" s="10"/>
      <c r="SUW63" s="10"/>
      <c r="SUX63" s="10"/>
      <c r="SUY63" s="10"/>
      <c r="SUZ63" s="10"/>
      <c r="SVA63" s="10"/>
      <c r="SVB63" s="10"/>
      <c r="SVC63" s="10"/>
      <c r="SVD63" s="10"/>
      <c r="SVE63" s="10"/>
      <c r="SVF63" s="10"/>
      <c r="SVG63" s="10"/>
      <c r="SVH63" s="10"/>
      <c r="SVI63" s="10"/>
      <c r="SVJ63" s="10"/>
      <c r="SVK63" s="10"/>
      <c r="SVL63" s="10"/>
      <c r="SVM63" s="10"/>
      <c r="SVN63" s="10"/>
      <c r="SVO63" s="10"/>
      <c r="SVP63" s="10"/>
      <c r="SVQ63" s="10"/>
      <c r="SVR63" s="10"/>
      <c r="SVS63" s="10"/>
      <c r="SVT63" s="10"/>
      <c r="SVU63" s="10"/>
      <c r="SVV63" s="10"/>
      <c r="SVW63" s="10"/>
      <c r="SVX63" s="10"/>
      <c r="SVY63" s="10"/>
      <c r="SVZ63" s="10"/>
      <c r="SWA63" s="10"/>
      <c r="SWB63" s="10"/>
      <c r="SWC63" s="10"/>
      <c r="SWD63" s="10"/>
      <c r="SWE63" s="10"/>
      <c r="SWF63" s="10"/>
      <c r="SWG63" s="10"/>
      <c r="SWH63" s="10"/>
      <c r="SWI63" s="10"/>
      <c r="SWJ63" s="10"/>
      <c r="SWK63" s="10"/>
      <c r="SWL63" s="10"/>
      <c r="SWM63" s="10"/>
      <c r="SWN63" s="10"/>
      <c r="SWO63" s="10"/>
      <c r="SWP63" s="10"/>
      <c r="SWQ63" s="10"/>
      <c r="SWR63" s="10"/>
      <c r="SWS63" s="10"/>
      <c r="SWT63" s="10"/>
      <c r="SWU63" s="10"/>
      <c r="SWV63" s="10"/>
      <c r="SWW63" s="10"/>
      <c r="SWX63" s="10"/>
      <c r="SWY63" s="10"/>
      <c r="SWZ63" s="10"/>
      <c r="SXA63" s="10"/>
      <c r="SXB63" s="10"/>
      <c r="SXC63" s="10"/>
      <c r="SXD63" s="10"/>
      <c r="SXE63" s="10"/>
      <c r="SXF63" s="10"/>
      <c r="SXG63" s="10"/>
      <c r="SXH63" s="10"/>
      <c r="SXI63" s="10"/>
      <c r="SXJ63" s="10"/>
      <c r="SXK63" s="10"/>
      <c r="SXL63" s="10"/>
      <c r="SXM63" s="10"/>
      <c r="SXN63" s="10"/>
      <c r="SXO63" s="10"/>
      <c r="SXP63" s="10"/>
      <c r="SXQ63" s="10"/>
      <c r="SXR63" s="10"/>
      <c r="SXS63" s="10"/>
      <c r="SXT63" s="10"/>
      <c r="SXU63" s="10"/>
      <c r="SXV63" s="10"/>
      <c r="SXW63" s="10"/>
      <c r="SXX63" s="10"/>
      <c r="SXY63" s="10"/>
      <c r="SXZ63" s="10"/>
      <c r="SYA63" s="10"/>
      <c r="SYB63" s="10"/>
      <c r="SYC63" s="10"/>
      <c r="SYD63" s="10"/>
      <c r="SYE63" s="10"/>
      <c r="SYF63" s="10"/>
      <c r="SYG63" s="10"/>
      <c r="SYH63" s="10"/>
      <c r="SYI63" s="10"/>
      <c r="SYJ63" s="10"/>
      <c r="SYK63" s="10"/>
      <c r="SYL63" s="10"/>
      <c r="SYM63" s="10"/>
      <c r="SYN63" s="10"/>
      <c r="SYO63" s="10"/>
      <c r="SYP63" s="10"/>
      <c r="SYQ63" s="10"/>
      <c r="SYR63" s="10"/>
      <c r="SYS63" s="10"/>
      <c r="SYT63" s="10"/>
      <c r="SYU63" s="10"/>
      <c r="SYV63" s="10"/>
      <c r="SYW63" s="10"/>
      <c r="SYX63" s="10"/>
      <c r="SYY63" s="10"/>
      <c r="SYZ63" s="10"/>
      <c r="SZA63" s="10"/>
      <c r="SZB63" s="10"/>
      <c r="SZC63" s="10"/>
      <c r="SZD63" s="10"/>
      <c r="SZE63" s="10"/>
      <c r="SZF63" s="10"/>
      <c r="SZG63" s="10"/>
      <c r="SZH63" s="10"/>
      <c r="SZI63" s="10"/>
      <c r="SZJ63" s="10"/>
      <c r="SZK63" s="10"/>
      <c r="SZL63" s="10"/>
      <c r="SZM63" s="10"/>
      <c r="SZN63" s="10"/>
      <c r="SZO63" s="10"/>
      <c r="SZP63" s="10"/>
      <c r="SZQ63" s="10"/>
      <c r="SZR63" s="10"/>
      <c r="SZS63" s="10"/>
      <c r="SZT63" s="10"/>
      <c r="SZU63" s="10"/>
      <c r="SZV63" s="10"/>
      <c r="SZW63" s="10"/>
      <c r="SZX63" s="10"/>
      <c r="SZY63" s="10"/>
      <c r="SZZ63" s="10"/>
      <c r="TAA63" s="10"/>
      <c r="TAB63" s="10"/>
      <c r="TAC63" s="10"/>
      <c r="TAD63" s="10"/>
      <c r="TAE63" s="10"/>
      <c r="TAF63" s="10"/>
      <c r="TAG63" s="10"/>
      <c r="TAH63" s="10"/>
      <c r="TAI63" s="10"/>
      <c r="TAJ63" s="10"/>
      <c r="TAK63" s="10"/>
      <c r="TAL63" s="10"/>
      <c r="TAM63" s="10"/>
      <c r="TAN63" s="10"/>
      <c r="TAO63" s="10"/>
      <c r="TAP63" s="10"/>
      <c r="TAQ63" s="10"/>
      <c r="TAR63" s="10"/>
      <c r="TAS63" s="10"/>
      <c r="TAT63" s="10"/>
      <c r="TAU63" s="10"/>
      <c r="TAV63" s="10"/>
      <c r="TAW63" s="10"/>
      <c r="TAX63" s="10"/>
      <c r="TAY63" s="10"/>
      <c r="TAZ63" s="10"/>
      <c r="TBA63" s="10"/>
      <c r="TBB63" s="10"/>
      <c r="TBC63" s="10"/>
      <c r="TBD63" s="10"/>
      <c r="TBE63" s="10"/>
      <c r="TBF63" s="10"/>
      <c r="TBG63" s="10"/>
      <c r="TBH63" s="10"/>
      <c r="TBI63" s="10"/>
      <c r="TBJ63" s="10"/>
      <c r="TBK63" s="10"/>
      <c r="TBL63" s="10"/>
      <c r="TBM63" s="10"/>
      <c r="TBN63" s="10"/>
      <c r="TBO63" s="10"/>
      <c r="TBP63" s="10"/>
      <c r="TBQ63" s="10"/>
      <c r="TBR63" s="10"/>
      <c r="TBS63" s="10"/>
      <c r="TBT63" s="10"/>
      <c r="TBU63" s="10"/>
      <c r="TBV63" s="10"/>
      <c r="TBW63" s="10"/>
      <c r="TBX63" s="10"/>
      <c r="TBY63" s="10"/>
      <c r="TBZ63" s="10"/>
      <c r="TCA63" s="10"/>
      <c r="TCB63" s="10"/>
      <c r="TCC63" s="10"/>
      <c r="TCD63" s="10"/>
      <c r="TCE63" s="10"/>
      <c r="TCF63" s="10"/>
      <c r="TCG63" s="10"/>
      <c r="TCH63" s="10"/>
      <c r="TCI63" s="10"/>
      <c r="TCJ63" s="10"/>
      <c r="TCK63" s="10"/>
      <c r="TCL63" s="10"/>
      <c r="TCM63" s="10"/>
      <c r="TCN63" s="10"/>
      <c r="TCO63" s="10"/>
      <c r="TCP63" s="10"/>
      <c r="TCQ63" s="10"/>
      <c r="TCR63" s="10"/>
      <c r="TCS63" s="10"/>
      <c r="TCT63" s="10"/>
      <c r="TCU63" s="10"/>
      <c r="TCV63" s="10"/>
      <c r="TCW63" s="10"/>
      <c r="TCX63" s="10"/>
      <c r="TCY63" s="10"/>
      <c r="TCZ63" s="10"/>
      <c r="TDA63" s="10"/>
      <c r="TDB63" s="10"/>
      <c r="TDC63" s="10"/>
      <c r="TDD63" s="10"/>
      <c r="TDE63" s="10"/>
      <c r="TDF63" s="10"/>
      <c r="TDG63" s="10"/>
      <c r="TDH63" s="10"/>
      <c r="TDI63" s="10"/>
      <c r="TDJ63" s="10"/>
      <c r="TDK63" s="10"/>
      <c r="TDL63" s="10"/>
      <c r="TDM63" s="10"/>
      <c r="TDN63" s="10"/>
      <c r="TDO63" s="10"/>
      <c r="TDP63" s="10"/>
      <c r="TDQ63" s="10"/>
      <c r="TDR63" s="10"/>
      <c r="TDS63" s="10"/>
      <c r="TDT63" s="10"/>
      <c r="TDU63" s="10"/>
      <c r="TDV63" s="10"/>
      <c r="TDW63" s="10"/>
      <c r="TDX63" s="10"/>
      <c r="TDY63" s="10"/>
      <c r="TDZ63" s="10"/>
      <c r="TEA63" s="10"/>
      <c r="TEB63" s="10"/>
      <c r="TEC63" s="10"/>
      <c r="TED63" s="10"/>
      <c r="TEE63" s="10"/>
      <c r="TEF63" s="10"/>
      <c r="TEG63" s="10"/>
      <c r="TEH63" s="10"/>
      <c r="TEI63" s="10"/>
      <c r="TEJ63" s="10"/>
      <c r="TEK63" s="10"/>
      <c r="TEL63" s="10"/>
      <c r="TEM63" s="10"/>
      <c r="TEN63" s="10"/>
      <c r="TEO63" s="10"/>
      <c r="TEP63" s="10"/>
      <c r="TEQ63" s="10"/>
      <c r="TER63" s="10"/>
      <c r="TES63" s="10"/>
      <c r="TET63" s="10"/>
      <c r="TEU63" s="10"/>
      <c r="TEV63" s="10"/>
      <c r="TEW63" s="10"/>
      <c r="TEX63" s="10"/>
      <c r="TEY63" s="10"/>
      <c r="TEZ63" s="10"/>
      <c r="TFA63" s="10"/>
      <c r="TFB63" s="10"/>
      <c r="TFC63" s="10"/>
      <c r="TFD63" s="10"/>
      <c r="TFE63" s="10"/>
      <c r="TFF63" s="10"/>
      <c r="TFG63" s="10"/>
      <c r="TFH63" s="10"/>
      <c r="TFI63" s="10"/>
      <c r="TFJ63" s="10"/>
      <c r="TFK63" s="10"/>
      <c r="TFL63" s="10"/>
      <c r="TFM63" s="10"/>
      <c r="TFN63" s="10"/>
      <c r="TFO63" s="10"/>
      <c r="TFP63" s="10"/>
      <c r="TFQ63" s="10"/>
      <c r="TFR63" s="10"/>
      <c r="TFS63" s="10"/>
      <c r="TFT63" s="10"/>
      <c r="TFU63" s="10"/>
      <c r="TFV63" s="10"/>
      <c r="TFW63" s="10"/>
      <c r="TFX63" s="10"/>
      <c r="TFY63" s="10"/>
      <c r="TFZ63" s="10"/>
      <c r="TGA63" s="10"/>
      <c r="TGB63" s="10"/>
      <c r="TGC63" s="10"/>
      <c r="TGD63" s="10"/>
      <c r="TGE63" s="10"/>
      <c r="TGF63" s="10"/>
      <c r="TGG63" s="10"/>
      <c r="TGH63" s="10"/>
      <c r="TGI63" s="10"/>
      <c r="TGJ63" s="10"/>
      <c r="TGK63" s="10"/>
      <c r="TGL63" s="10"/>
      <c r="TGM63" s="10"/>
      <c r="TGN63" s="10"/>
      <c r="TGO63" s="10"/>
      <c r="TGP63" s="10"/>
      <c r="TGQ63" s="10"/>
      <c r="TGR63" s="10"/>
      <c r="TGS63" s="10"/>
      <c r="TGT63" s="10"/>
      <c r="TGU63" s="10"/>
      <c r="TGV63" s="10"/>
      <c r="TGW63" s="10"/>
      <c r="TGX63" s="10"/>
      <c r="TGY63" s="10"/>
      <c r="TGZ63" s="10"/>
      <c r="THA63" s="10"/>
      <c r="THB63" s="10"/>
      <c r="THC63" s="10"/>
      <c r="THD63" s="10"/>
      <c r="THE63" s="10"/>
      <c r="THF63" s="10"/>
      <c r="THG63" s="10"/>
      <c r="THH63" s="10"/>
      <c r="THI63" s="10"/>
      <c r="THJ63" s="10"/>
      <c r="THK63" s="10"/>
      <c r="THL63" s="10"/>
      <c r="THM63" s="10"/>
      <c r="THN63" s="10"/>
      <c r="THO63" s="10"/>
      <c r="THP63" s="10"/>
      <c r="THQ63" s="10"/>
      <c r="THR63" s="10"/>
      <c r="THS63" s="10"/>
      <c r="THT63" s="10"/>
      <c r="THU63" s="10"/>
      <c r="THV63" s="10"/>
      <c r="THW63" s="10"/>
      <c r="THX63" s="10"/>
      <c r="THY63" s="10"/>
      <c r="THZ63" s="10"/>
      <c r="TIA63" s="10"/>
      <c r="TIB63" s="10"/>
      <c r="TIC63" s="10"/>
      <c r="TID63" s="10"/>
      <c r="TIE63" s="10"/>
      <c r="TIF63" s="10"/>
      <c r="TIG63" s="10"/>
      <c r="TIH63" s="10"/>
      <c r="TII63" s="10"/>
      <c r="TIJ63" s="10"/>
      <c r="TIK63" s="10"/>
      <c r="TIL63" s="10"/>
      <c r="TIM63" s="10"/>
      <c r="TIN63" s="10"/>
      <c r="TIO63" s="10"/>
      <c r="TIP63" s="10"/>
      <c r="TIQ63" s="10"/>
      <c r="TIR63" s="10"/>
      <c r="TIS63" s="10"/>
      <c r="TIT63" s="10"/>
      <c r="TIU63" s="10"/>
      <c r="TIV63" s="10"/>
      <c r="TIW63" s="10"/>
      <c r="TIX63" s="10"/>
      <c r="TIY63" s="10"/>
      <c r="TIZ63" s="10"/>
      <c r="TJA63" s="10"/>
      <c r="TJB63" s="10"/>
      <c r="TJC63" s="10"/>
      <c r="TJD63" s="10"/>
      <c r="TJE63" s="10"/>
      <c r="TJF63" s="10"/>
      <c r="TJG63" s="10"/>
      <c r="TJH63" s="10"/>
      <c r="TJI63" s="10"/>
      <c r="TJJ63" s="10"/>
      <c r="TJK63" s="10"/>
      <c r="TJL63" s="10"/>
      <c r="TJM63" s="10"/>
      <c r="TJN63" s="10"/>
      <c r="TJO63" s="10"/>
      <c r="TJP63" s="10"/>
      <c r="TJQ63" s="10"/>
      <c r="TJR63" s="10"/>
      <c r="TJS63" s="10"/>
      <c r="TJT63" s="10"/>
      <c r="TJU63" s="10"/>
      <c r="TJV63" s="10"/>
      <c r="TJW63" s="10"/>
      <c r="TJX63" s="10"/>
      <c r="TJY63" s="10"/>
      <c r="TJZ63" s="10"/>
      <c r="TKA63" s="10"/>
      <c r="TKB63" s="10"/>
      <c r="TKC63" s="10"/>
      <c r="TKD63" s="10"/>
      <c r="TKE63" s="10"/>
      <c r="TKF63" s="10"/>
      <c r="TKG63" s="10"/>
      <c r="TKH63" s="10"/>
      <c r="TKI63" s="10"/>
      <c r="TKJ63" s="10"/>
      <c r="TKK63" s="10"/>
      <c r="TKL63" s="10"/>
      <c r="TKM63" s="10"/>
      <c r="TKN63" s="10"/>
      <c r="TKO63" s="10"/>
      <c r="TKP63" s="10"/>
      <c r="TKQ63" s="10"/>
      <c r="TKR63" s="10"/>
      <c r="TKS63" s="10"/>
      <c r="TKT63" s="10"/>
      <c r="TKU63" s="10"/>
      <c r="TKV63" s="10"/>
      <c r="TKW63" s="10"/>
      <c r="TKX63" s="10"/>
      <c r="TKY63" s="10"/>
      <c r="TKZ63" s="10"/>
      <c r="TLA63" s="10"/>
      <c r="TLB63" s="10"/>
      <c r="TLC63" s="10"/>
      <c r="TLD63" s="10"/>
      <c r="TLE63" s="10"/>
      <c r="TLF63" s="10"/>
      <c r="TLG63" s="10"/>
      <c r="TLH63" s="10"/>
      <c r="TLI63" s="10"/>
      <c r="TLJ63" s="10"/>
      <c r="TLK63" s="10"/>
      <c r="TLL63" s="10"/>
      <c r="TLM63" s="10"/>
      <c r="TLN63" s="10"/>
      <c r="TLO63" s="10"/>
      <c r="TLP63" s="10"/>
      <c r="TLQ63" s="10"/>
      <c r="TLR63" s="10"/>
      <c r="TLS63" s="10"/>
      <c r="TLT63" s="10"/>
      <c r="TLU63" s="10"/>
      <c r="TLV63" s="10"/>
      <c r="TLW63" s="10"/>
      <c r="TLX63" s="10"/>
      <c r="TLY63" s="10"/>
      <c r="TLZ63" s="10"/>
      <c r="TMA63" s="10"/>
      <c r="TMB63" s="10"/>
      <c r="TMC63" s="10"/>
      <c r="TMD63" s="10"/>
      <c r="TME63" s="10"/>
      <c r="TMF63" s="10"/>
      <c r="TMG63" s="10"/>
      <c r="TMH63" s="10"/>
      <c r="TMI63" s="10"/>
      <c r="TMJ63" s="10"/>
      <c r="TMK63" s="10"/>
      <c r="TML63" s="10"/>
      <c r="TMM63" s="10"/>
      <c r="TMN63" s="10"/>
      <c r="TMO63" s="10"/>
      <c r="TMP63" s="10"/>
      <c r="TMQ63" s="10"/>
      <c r="TMR63" s="10"/>
      <c r="TMS63" s="10"/>
      <c r="TMT63" s="10"/>
      <c r="TMU63" s="10"/>
      <c r="TMV63" s="10"/>
      <c r="TMW63" s="10"/>
      <c r="TMX63" s="10"/>
      <c r="TMY63" s="10"/>
      <c r="TMZ63" s="10"/>
      <c r="TNA63" s="10"/>
      <c r="TNB63" s="10"/>
      <c r="TNC63" s="10"/>
      <c r="TND63" s="10"/>
      <c r="TNE63" s="10"/>
      <c r="TNF63" s="10"/>
      <c r="TNG63" s="10"/>
      <c r="TNH63" s="10"/>
      <c r="TNI63" s="10"/>
      <c r="TNJ63" s="10"/>
      <c r="TNK63" s="10"/>
      <c r="TNL63" s="10"/>
      <c r="TNM63" s="10"/>
      <c r="TNN63" s="10"/>
      <c r="TNO63" s="10"/>
      <c r="TNP63" s="10"/>
      <c r="TNQ63" s="10"/>
      <c r="TNR63" s="10"/>
      <c r="TNS63" s="10"/>
      <c r="TNT63" s="10"/>
      <c r="TNU63" s="10"/>
      <c r="TNV63" s="10"/>
      <c r="TNW63" s="10"/>
      <c r="TNX63" s="10"/>
      <c r="TNY63" s="10"/>
      <c r="TNZ63" s="10"/>
      <c r="TOA63" s="10"/>
      <c r="TOB63" s="10"/>
      <c r="TOC63" s="10"/>
      <c r="TOD63" s="10"/>
      <c r="TOE63" s="10"/>
      <c r="TOF63" s="10"/>
      <c r="TOG63" s="10"/>
      <c r="TOH63" s="10"/>
      <c r="TOI63" s="10"/>
      <c r="TOJ63" s="10"/>
      <c r="TOK63" s="10"/>
      <c r="TOL63" s="10"/>
      <c r="TOM63" s="10"/>
      <c r="TON63" s="10"/>
      <c r="TOO63" s="10"/>
      <c r="TOP63" s="10"/>
      <c r="TOQ63" s="10"/>
      <c r="TOR63" s="10"/>
      <c r="TOS63" s="10"/>
      <c r="TOT63" s="10"/>
      <c r="TOU63" s="10"/>
      <c r="TOV63" s="10"/>
      <c r="TOW63" s="10"/>
      <c r="TOX63" s="10"/>
      <c r="TOY63" s="10"/>
      <c r="TOZ63" s="10"/>
      <c r="TPA63" s="10"/>
      <c r="TPB63" s="10"/>
      <c r="TPC63" s="10"/>
      <c r="TPD63" s="10"/>
      <c r="TPE63" s="10"/>
      <c r="TPF63" s="10"/>
      <c r="TPG63" s="10"/>
      <c r="TPH63" s="10"/>
      <c r="TPI63" s="10"/>
      <c r="TPJ63" s="10"/>
      <c r="TPK63" s="10"/>
      <c r="TPL63" s="10"/>
      <c r="TPM63" s="10"/>
      <c r="TPN63" s="10"/>
      <c r="TPO63" s="10"/>
      <c r="TPP63" s="10"/>
      <c r="TPQ63" s="10"/>
      <c r="TPR63" s="10"/>
      <c r="TPS63" s="10"/>
      <c r="TPT63" s="10"/>
      <c r="TPU63" s="10"/>
      <c r="TPV63" s="10"/>
      <c r="TPW63" s="10"/>
      <c r="TPX63" s="10"/>
      <c r="TPY63" s="10"/>
      <c r="TPZ63" s="10"/>
      <c r="TQA63" s="10"/>
      <c r="TQB63" s="10"/>
      <c r="TQC63" s="10"/>
      <c r="TQD63" s="10"/>
      <c r="TQE63" s="10"/>
      <c r="TQF63" s="10"/>
      <c r="TQG63" s="10"/>
      <c r="TQH63" s="10"/>
      <c r="TQI63" s="10"/>
      <c r="TQJ63" s="10"/>
      <c r="TQK63" s="10"/>
      <c r="TQL63" s="10"/>
      <c r="TQM63" s="10"/>
      <c r="TQN63" s="10"/>
      <c r="TQO63" s="10"/>
      <c r="TQP63" s="10"/>
      <c r="TQQ63" s="10"/>
      <c r="TQR63" s="10"/>
      <c r="TQS63" s="10"/>
      <c r="TQT63" s="10"/>
      <c r="TQU63" s="10"/>
      <c r="TQV63" s="10"/>
      <c r="TQW63" s="10"/>
      <c r="TQX63" s="10"/>
      <c r="TQY63" s="10"/>
      <c r="TQZ63" s="10"/>
      <c r="TRA63" s="10"/>
      <c r="TRB63" s="10"/>
      <c r="TRC63" s="10"/>
      <c r="TRD63" s="10"/>
      <c r="TRE63" s="10"/>
      <c r="TRF63" s="10"/>
      <c r="TRG63" s="10"/>
      <c r="TRH63" s="10"/>
      <c r="TRI63" s="10"/>
      <c r="TRJ63" s="10"/>
      <c r="TRK63" s="10"/>
      <c r="TRL63" s="10"/>
      <c r="TRM63" s="10"/>
      <c r="TRN63" s="10"/>
      <c r="TRO63" s="10"/>
      <c r="TRP63" s="10"/>
      <c r="TRQ63" s="10"/>
      <c r="TRR63" s="10"/>
      <c r="TRS63" s="10"/>
      <c r="TRT63" s="10"/>
      <c r="TRU63" s="10"/>
      <c r="TRV63" s="10"/>
      <c r="TRW63" s="10"/>
      <c r="TRX63" s="10"/>
      <c r="TRY63" s="10"/>
      <c r="TRZ63" s="10"/>
      <c r="TSA63" s="10"/>
      <c r="TSB63" s="10"/>
      <c r="TSC63" s="10"/>
      <c r="TSD63" s="10"/>
      <c r="TSE63" s="10"/>
      <c r="TSF63" s="10"/>
      <c r="TSG63" s="10"/>
      <c r="TSH63" s="10"/>
      <c r="TSI63" s="10"/>
      <c r="TSJ63" s="10"/>
      <c r="TSK63" s="10"/>
      <c r="TSL63" s="10"/>
      <c r="TSM63" s="10"/>
      <c r="TSN63" s="10"/>
      <c r="TSO63" s="10"/>
      <c r="TSP63" s="10"/>
      <c r="TSQ63" s="10"/>
      <c r="TSR63" s="10"/>
      <c r="TSS63" s="10"/>
      <c r="TST63" s="10"/>
      <c r="TSU63" s="10"/>
      <c r="TSV63" s="10"/>
      <c r="TSW63" s="10"/>
      <c r="TSX63" s="10"/>
      <c r="TSY63" s="10"/>
      <c r="TSZ63" s="10"/>
      <c r="TTA63" s="10"/>
      <c r="TTB63" s="10"/>
      <c r="TTC63" s="10"/>
      <c r="TTD63" s="10"/>
      <c r="TTE63" s="10"/>
      <c r="TTF63" s="10"/>
      <c r="TTG63" s="10"/>
      <c r="TTH63" s="10"/>
      <c r="TTI63" s="10"/>
      <c r="TTJ63" s="10"/>
      <c r="TTK63" s="10"/>
      <c r="TTL63" s="10"/>
      <c r="TTM63" s="10"/>
      <c r="TTN63" s="10"/>
      <c r="TTO63" s="10"/>
      <c r="TTP63" s="10"/>
      <c r="TTQ63" s="10"/>
      <c r="TTR63" s="10"/>
      <c r="TTS63" s="10"/>
      <c r="TTT63" s="10"/>
      <c r="TTU63" s="10"/>
      <c r="TTV63" s="10"/>
      <c r="TTW63" s="10"/>
      <c r="TTX63" s="10"/>
      <c r="TTY63" s="10"/>
      <c r="TTZ63" s="10"/>
      <c r="TUA63" s="10"/>
      <c r="TUB63" s="10"/>
      <c r="TUC63" s="10"/>
      <c r="TUD63" s="10"/>
      <c r="TUE63" s="10"/>
      <c r="TUF63" s="10"/>
      <c r="TUG63" s="10"/>
      <c r="TUH63" s="10"/>
      <c r="TUI63" s="10"/>
      <c r="TUJ63" s="10"/>
      <c r="TUK63" s="10"/>
      <c r="TUL63" s="10"/>
      <c r="TUM63" s="10"/>
      <c r="TUN63" s="10"/>
      <c r="TUO63" s="10"/>
      <c r="TUP63" s="10"/>
      <c r="TUQ63" s="10"/>
      <c r="TUR63" s="10"/>
      <c r="TUS63" s="10"/>
      <c r="TUT63" s="10"/>
      <c r="TUU63" s="10"/>
      <c r="TUV63" s="10"/>
      <c r="TUW63" s="10"/>
      <c r="TUX63" s="10"/>
      <c r="TUY63" s="10"/>
      <c r="TUZ63" s="10"/>
      <c r="TVA63" s="10"/>
      <c r="TVB63" s="10"/>
      <c r="TVC63" s="10"/>
      <c r="TVD63" s="10"/>
      <c r="TVE63" s="10"/>
      <c r="TVF63" s="10"/>
      <c r="TVG63" s="10"/>
      <c r="TVH63" s="10"/>
      <c r="TVI63" s="10"/>
      <c r="TVJ63" s="10"/>
      <c r="TVK63" s="10"/>
      <c r="TVL63" s="10"/>
      <c r="TVM63" s="10"/>
      <c r="TVN63" s="10"/>
      <c r="TVO63" s="10"/>
      <c r="TVP63" s="10"/>
      <c r="TVQ63" s="10"/>
      <c r="TVR63" s="10"/>
      <c r="TVS63" s="10"/>
      <c r="TVT63" s="10"/>
      <c r="TVU63" s="10"/>
      <c r="TVV63" s="10"/>
      <c r="TVW63" s="10"/>
      <c r="TVX63" s="10"/>
      <c r="TVY63" s="10"/>
      <c r="TVZ63" s="10"/>
      <c r="TWA63" s="10"/>
      <c r="TWB63" s="10"/>
      <c r="TWC63" s="10"/>
      <c r="TWD63" s="10"/>
      <c r="TWE63" s="10"/>
      <c r="TWF63" s="10"/>
      <c r="TWG63" s="10"/>
      <c r="TWH63" s="10"/>
      <c r="TWI63" s="10"/>
      <c r="TWJ63" s="10"/>
      <c r="TWK63" s="10"/>
      <c r="TWL63" s="10"/>
      <c r="TWM63" s="10"/>
      <c r="TWN63" s="10"/>
      <c r="TWO63" s="10"/>
      <c r="TWP63" s="10"/>
      <c r="TWQ63" s="10"/>
      <c r="TWR63" s="10"/>
      <c r="TWS63" s="10"/>
      <c r="TWT63" s="10"/>
      <c r="TWU63" s="10"/>
      <c r="TWV63" s="10"/>
      <c r="TWW63" s="10"/>
      <c r="TWX63" s="10"/>
      <c r="TWY63" s="10"/>
      <c r="TWZ63" s="10"/>
      <c r="TXA63" s="10"/>
      <c r="TXB63" s="10"/>
      <c r="TXC63" s="10"/>
      <c r="TXD63" s="10"/>
      <c r="TXE63" s="10"/>
      <c r="TXF63" s="10"/>
      <c r="TXG63" s="10"/>
      <c r="TXH63" s="10"/>
      <c r="TXI63" s="10"/>
      <c r="TXJ63" s="10"/>
      <c r="TXK63" s="10"/>
      <c r="TXL63" s="10"/>
      <c r="TXM63" s="10"/>
      <c r="TXN63" s="10"/>
      <c r="TXO63" s="10"/>
      <c r="TXP63" s="10"/>
      <c r="TXQ63" s="10"/>
      <c r="TXR63" s="10"/>
      <c r="TXS63" s="10"/>
      <c r="TXT63" s="10"/>
      <c r="TXU63" s="10"/>
      <c r="TXV63" s="10"/>
      <c r="TXW63" s="10"/>
      <c r="TXX63" s="10"/>
      <c r="TXY63" s="10"/>
      <c r="TXZ63" s="10"/>
      <c r="TYA63" s="10"/>
      <c r="TYB63" s="10"/>
      <c r="TYC63" s="10"/>
      <c r="TYD63" s="10"/>
      <c r="TYE63" s="10"/>
      <c r="TYF63" s="10"/>
      <c r="TYG63" s="10"/>
      <c r="TYH63" s="10"/>
      <c r="TYI63" s="10"/>
      <c r="TYJ63" s="10"/>
      <c r="TYK63" s="10"/>
      <c r="TYL63" s="10"/>
      <c r="TYM63" s="10"/>
      <c r="TYN63" s="10"/>
      <c r="TYO63" s="10"/>
      <c r="TYP63" s="10"/>
      <c r="TYQ63" s="10"/>
      <c r="TYR63" s="10"/>
      <c r="TYS63" s="10"/>
      <c r="TYT63" s="10"/>
      <c r="TYU63" s="10"/>
      <c r="TYV63" s="10"/>
      <c r="TYW63" s="10"/>
      <c r="TYX63" s="10"/>
      <c r="TYY63" s="10"/>
      <c r="TYZ63" s="10"/>
      <c r="TZA63" s="10"/>
      <c r="TZB63" s="10"/>
      <c r="TZC63" s="10"/>
      <c r="TZD63" s="10"/>
      <c r="TZE63" s="10"/>
      <c r="TZF63" s="10"/>
      <c r="TZG63" s="10"/>
      <c r="TZH63" s="10"/>
      <c r="TZI63" s="10"/>
      <c r="TZJ63" s="10"/>
      <c r="TZK63" s="10"/>
      <c r="TZL63" s="10"/>
      <c r="TZM63" s="10"/>
      <c r="TZN63" s="10"/>
      <c r="TZO63" s="10"/>
      <c r="TZP63" s="10"/>
      <c r="TZQ63" s="10"/>
      <c r="TZR63" s="10"/>
      <c r="TZS63" s="10"/>
      <c r="TZT63" s="10"/>
      <c r="TZU63" s="10"/>
      <c r="TZV63" s="10"/>
      <c r="TZW63" s="10"/>
      <c r="TZX63" s="10"/>
      <c r="TZY63" s="10"/>
      <c r="TZZ63" s="10"/>
      <c r="UAA63" s="10"/>
      <c r="UAB63" s="10"/>
      <c r="UAC63" s="10"/>
      <c r="UAD63" s="10"/>
      <c r="UAE63" s="10"/>
      <c r="UAF63" s="10"/>
      <c r="UAG63" s="10"/>
      <c r="UAH63" s="10"/>
      <c r="UAI63" s="10"/>
      <c r="UAJ63" s="10"/>
      <c r="UAK63" s="10"/>
      <c r="UAL63" s="10"/>
      <c r="UAM63" s="10"/>
      <c r="UAN63" s="10"/>
      <c r="UAO63" s="10"/>
      <c r="UAP63" s="10"/>
      <c r="UAQ63" s="10"/>
      <c r="UAR63" s="10"/>
      <c r="UAS63" s="10"/>
      <c r="UAT63" s="10"/>
      <c r="UAU63" s="10"/>
      <c r="UAV63" s="10"/>
      <c r="UAW63" s="10"/>
      <c r="UAX63" s="10"/>
      <c r="UAY63" s="10"/>
      <c r="UAZ63" s="10"/>
      <c r="UBA63" s="10"/>
      <c r="UBB63" s="10"/>
      <c r="UBC63" s="10"/>
      <c r="UBD63" s="10"/>
      <c r="UBE63" s="10"/>
      <c r="UBF63" s="10"/>
      <c r="UBG63" s="10"/>
      <c r="UBH63" s="10"/>
      <c r="UBI63" s="10"/>
      <c r="UBJ63" s="10"/>
      <c r="UBK63" s="10"/>
      <c r="UBL63" s="10"/>
      <c r="UBM63" s="10"/>
      <c r="UBN63" s="10"/>
      <c r="UBO63" s="10"/>
      <c r="UBP63" s="10"/>
      <c r="UBQ63" s="10"/>
      <c r="UBR63" s="10"/>
      <c r="UBS63" s="10"/>
      <c r="UBT63" s="10"/>
      <c r="UBU63" s="10"/>
      <c r="UBV63" s="10"/>
      <c r="UBW63" s="10"/>
      <c r="UBX63" s="10"/>
      <c r="UBY63" s="10"/>
      <c r="UBZ63" s="10"/>
      <c r="UCA63" s="10"/>
      <c r="UCB63" s="10"/>
      <c r="UCC63" s="10"/>
      <c r="UCD63" s="10"/>
      <c r="UCE63" s="10"/>
      <c r="UCF63" s="10"/>
      <c r="UCG63" s="10"/>
      <c r="UCH63" s="10"/>
      <c r="UCI63" s="10"/>
      <c r="UCJ63" s="10"/>
      <c r="UCK63" s="10"/>
      <c r="UCL63" s="10"/>
      <c r="UCM63" s="10"/>
      <c r="UCN63" s="10"/>
      <c r="UCO63" s="10"/>
      <c r="UCP63" s="10"/>
      <c r="UCQ63" s="10"/>
      <c r="UCR63" s="10"/>
      <c r="UCS63" s="10"/>
      <c r="UCT63" s="10"/>
      <c r="UCU63" s="10"/>
      <c r="UCV63" s="10"/>
      <c r="UCW63" s="10"/>
      <c r="UCX63" s="10"/>
      <c r="UCY63" s="10"/>
      <c r="UCZ63" s="10"/>
      <c r="UDA63" s="10"/>
      <c r="UDB63" s="10"/>
      <c r="UDC63" s="10"/>
      <c r="UDD63" s="10"/>
      <c r="UDE63" s="10"/>
      <c r="UDF63" s="10"/>
      <c r="UDG63" s="10"/>
      <c r="UDH63" s="10"/>
      <c r="UDI63" s="10"/>
      <c r="UDJ63" s="10"/>
      <c r="UDK63" s="10"/>
      <c r="UDL63" s="10"/>
      <c r="UDM63" s="10"/>
      <c r="UDN63" s="10"/>
      <c r="UDO63" s="10"/>
      <c r="UDP63" s="10"/>
      <c r="UDQ63" s="10"/>
      <c r="UDR63" s="10"/>
      <c r="UDS63" s="10"/>
      <c r="UDT63" s="10"/>
      <c r="UDU63" s="10"/>
      <c r="UDV63" s="10"/>
      <c r="UDW63" s="10"/>
      <c r="UDX63" s="10"/>
      <c r="UDY63" s="10"/>
      <c r="UDZ63" s="10"/>
      <c r="UEA63" s="10"/>
      <c r="UEB63" s="10"/>
      <c r="UEC63" s="10"/>
      <c r="UED63" s="10"/>
      <c r="UEE63" s="10"/>
      <c r="UEF63" s="10"/>
      <c r="UEG63" s="10"/>
      <c r="UEH63" s="10"/>
      <c r="UEI63" s="10"/>
      <c r="UEJ63" s="10"/>
      <c r="UEK63" s="10"/>
      <c r="UEL63" s="10"/>
      <c r="UEM63" s="10"/>
      <c r="UEN63" s="10"/>
      <c r="UEO63" s="10"/>
      <c r="UEP63" s="10"/>
      <c r="UEQ63" s="10"/>
      <c r="UER63" s="10"/>
      <c r="UES63" s="10"/>
      <c r="UET63" s="10"/>
      <c r="UEU63" s="10"/>
      <c r="UEV63" s="10"/>
      <c r="UEW63" s="10"/>
      <c r="UEX63" s="10"/>
      <c r="UEY63" s="10"/>
      <c r="UEZ63" s="10"/>
      <c r="UFA63" s="10"/>
      <c r="UFB63" s="10"/>
      <c r="UFC63" s="10"/>
      <c r="UFD63" s="10"/>
      <c r="UFE63" s="10"/>
      <c r="UFF63" s="10"/>
      <c r="UFG63" s="10"/>
      <c r="UFH63" s="10"/>
      <c r="UFI63" s="10"/>
      <c r="UFJ63" s="10"/>
      <c r="UFK63" s="10"/>
      <c r="UFL63" s="10"/>
      <c r="UFM63" s="10"/>
      <c r="UFN63" s="10"/>
      <c r="UFO63" s="10"/>
      <c r="UFP63" s="10"/>
      <c r="UFQ63" s="10"/>
      <c r="UFR63" s="10"/>
      <c r="UFS63" s="10"/>
      <c r="UFT63" s="10"/>
      <c r="UFU63" s="10"/>
      <c r="UFV63" s="10"/>
      <c r="UFW63" s="10"/>
      <c r="UFX63" s="10"/>
      <c r="UFY63" s="10"/>
      <c r="UFZ63" s="10"/>
      <c r="UGA63" s="10"/>
      <c r="UGB63" s="10"/>
      <c r="UGC63" s="10"/>
      <c r="UGD63" s="10"/>
      <c r="UGE63" s="10"/>
      <c r="UGF63" s="10"/>
      <c r="UGG63" s="10"/>
      <c r="UGH63" s="10"/>
      <c r="UGI63" s="10"/>
      <c r="UGJ63" s="10"/>
      <c r="UGK63" s="10"/>
      <c r="UGL63" s="10"/>
      <c r="UGM63" s="10"/>
      <c r="UGN63" s="10"/>
      <c r="UGO63" s="10"/>
      <c r="UGP63" s="10"/>
      <c r="UGQ63" s="10"/>
      <c r="UGR63" s="10"/>
      <c r="UGS63" s="10"/>
      <c r="UGT63" s="10"/>
      <c r="UGU63" s="10"/>
      <c r="UGV63" s="10"/>
      <c r="UGW63" s="10"/>
      <c r="UGX63" s="10"/>
      <c r="UGY63" s="10"/>
      <c r="UGZ63" s="10"/>
      <c r="UHA63" s="10"/>
      <c r="UHB63" s="10"/>
      <c r="UHC63" s="10"/>
      <c r="UHD63" s="10"/>
      <c r="UHE63" s="10"/>
      <c r="UHF63" s="10"/>
      <c r="UHG63" s="10"/>
      <c r="UHH63" s="10"/>
      <c r="UHI63" s="10"/>
      <c r="UHJ63" s="10"/>
      <c r="UHK63" s="10"/>
      <c r="UHL63" s="10"/>
      <c r="UHM63" s="10"/>
      <c r="UHN63" s="10"/>
      <c r="UHO63" s="10"/>
      <c r="UHP63" s="10"/>
      <c r="UHQ63" s="10"/>
      <c r="UHR63" s="10"/>
      <c r="UHS63" s="10"/>
      <c r="UHT63" s="10"/>
      <c r="UHU63" s="10"/>
      <c r="UHV63" s="10"/>
      <c r="UHW63" s="10"/>
      <c r="UHX63" s="10"/>
      <c r="UHY63" s="10"/>
      <c r="UHZ63" s="10"/>
      <c r="UIA63" s="10"/>
      <c r="UIB63" s="10"/>
      <c r="UIC63" s="10"/>
      <c r="UID63" s="10"/>
      <c r="UIE63" s="10"/>
      <c r="UIF63" s="10"/>
      <c r="UIG63" s="10"/>
      <c r="UIH63" s="10"/>
      <c r="UII63" s="10"/>
      <c r="UIJ63" s="10"/>
      <c r="UIK63" s="10"/>
      <c r="UIL63" s="10"/>
      <c r="UIM63" s="10"/>
      <c r="UIN63" s="10"/>
      <c r="UIO63" s="10"/>
      <c r="UIP63" s="10"/>
      <c r="UIQ63" s="10"/>
      <c r="UIR63" s="10"/>
      <c r="UIS63" s="10"/>
      <c r="UIT63" s="10"/>
      <c r="UIU63" s="10"/>
      <c r="UIV63" s="10"/>
      <c r="UIW63" s="10"/>
      <c r="UIX63" s="10"/>
      <c r="UIY63" s="10"/>
      <c r="UIZ63" s="10"/>
      <c r="UJA63" s="10"/>
      <c r="UJB63" s="10"/>
      <c r="UJC63" s="10"/>
      <c r="UJD63" s="10"/>
      <c r="UJE63" s="10"/>
      <c r="UJF63" s="10"/>
      <c r="UJG63" s="10"/>
      <c r="UJH63" s="10"/>
      <c r="UJI63" s="10"/>
      <c r="UJJ63" s="10"/>
      <c r="UJK63" s="10"/>
      <c r="UJL63" s="10"/>
      <c r="UJM63" s="10"/>
      <c r="UJN63" s="10"/>
      <c r="UJO63" s="10"/>
      <c r="UJP63" s="10"/>
      <c r="UJQ63" s="10"/>
      <c r="UJR63" s="10"/>
      <c r="UJS63" s="10"/>
      <c r="UJT63" s="10"/>
      <c r="UJU63" s="10"/>
      <c r="UJV63" s="10"/>
      <c r="UJW63" s="10"/>
      <c r="UJX63" s="10"/>
      <c r="UJY63" s="10"/>
      <c r="UJZ63" s="10"/>
      <c r="UKA63" s="10"/>
      <c r="UKB63" s="10"/>
      <c r="UKC63" s="10"/>
      <c r="UKD63" s="10"/>
      <c r="UKE63" s="10"/>
      <c r="UKF63" s="10"/>
      <c r="UKG63" s="10"/>
      <c r="UKH63" s="10"/>
      <c r="UKI63" s="10"/>
      <c r="UKJ63" s="10"/>
      <c r="UKK63" s="10"/>
      <c r="UKL63" s="10"/>
      <c r="UKM63" s="10"/>
      <c r="UKN63" s="10"/>
      <c r="UKO63" s="10"/>
      <c r="UKP63" s="10"/>
      <c r="UKQ63" s="10"/>
      <c r="UKR63" s="10"/>
      <c r="UKS63" s="10"/>
      <c r="UKT63" s="10"/>
      <c r="UKU63" s="10"/>
      <c r="UKV63" s="10"/>
      <c r="UKW63" s="10"/>
      <c r="UKX63" s="10"/>
      <c r="UKY63" s="10"/>
      <c r="UKZ63" s="10"/>
      <c r="ULA63" s="10"/>
      <c r="ULB63" s="10"/>
      <c r="ULC63" s="10"/>
      <c r="ULD63" s="10"/>
      <c r="ULE63" s="10"/>
      <c r="ULF63" s="10"/>
      <c r="ULG63" s="10"/>
      <c r="ULH63" s="10"/>
      <c r="ULI63" s="10"/>
      <c r="ULJ63" s="10"/>
      <c r="ULK63" s="10"/>
      <c r="ULL63" s="10"/>
      <c r="ULM63" s="10"/>
      <c r="ULN63" s="10"/>
      <c r="ULO63" s="10"/>
      <c r="ULP63" s="10"/>
      <c r="ULQ63" s="10"/>
      <c r="ULR63" s="10"/>
      <c r="ULS63" s="10"/>
      <c r="ULT63" s="10"/>
      <c r="ULU63" s="10"/>
      <c r="ULV63" s="10"/>
      <c r="ULW63" s="10"/>
      <c r="ULX63" s="10"/>
      <c r="ULY63" s="10"/>
      <c r="ULZ63" s="10"/>
      <c r="UMA63" s="10"/>
      <c r="UMB63" s="10"/>
      <c r="UMC63" s="10"/>
      <c r="UMD63" s="10"/>
      <c r="UME63" s="10"/>
      <c r="UMF63" s="10"/>
      <c r="UMG63" s="10"/>
      <c r="UMH63" s="10"/>
      <c r="UMI63" s="10"/>
      <c r="UMJ63" s="10"/>
      <c r="UMK63" s="10"/>
      <c r="UML63" s="10"/>
      <c r="UMM63" s="10"/>
      <c r="UMN63" s="10"/>
      <c r="UMO63" s="10"/>
      <c r="UMP63" s="10"/>
      <c r="UMQ63" s="10"/>
      <c r="UMR63" s="10"/>
      <c r="UMS63" s="10"/>
      <c r="UMT63" s="10"/>
      <c r="UMU63" s="10"/>
      <c r="UMV63" s="10"/>
      <c r="UMW63" s="10"/>
      <c r="UMX63" s="10"/>
      <c r="UMY63" s="10"/>
      <c r="UMZ63" s="10"/>
      <c r="UNA63" s="10"/>
      <c r="UNB63" s="10"/>
      <c r="UNC63" s="10"/>
      <c r="UND63" s="10"/>
      <c r="UNE63" s="10"/>
      <c r="UNF63" s="10"/>
      <c r="UNG63" s="10"/>
      <c r="UNH63" s="10"/>
      <c r="UNI63" s="10"/>
      <c r="UNJ63" s="10"/>
      <c r="UNK63" s="10"/>
      <c r="UNL63" s="10"/>
      <c r="UNM63" s="10"/>
      <c r="UNN63" s="10"/>
      <c r="UNO63" s="10"/>
      <c r="UNP63" s="10"/>
      <c r="UNQ63" s="10"/>
      <c r="UNR63" s="10"/>
      <c r="UNS63" s="10"/>
      <c r="UNT63" s="10"/>
      <c r="UNU63" s="10"/>
      <c r="UNV63" s="10"/>
      <c r="UNW63" s="10"/>
      <c r="UNX63" s="10"/>
      <c r="UNY63" s="10"/>
      <c r="UNZ63" s="10"/>
      <c r="UOA63" s="10"/>
      <c r="UOB63" s="10"/>
      <c r="UOC63" s="10"/>
      <c r="UOD63" s="10"/>
      <c r="UOE63" s="10"/>
      <c r="UOF63" s="10"/>
      <c r="UOG63" s="10"/>
      <c r="UOH63" s="10"/>
      <c r="UOI63" s="10"/>
      <c r="UOJ63" s="10"/>
      <c r="UOK63" s="10"/>
      <c r="UOL63" s="10"/>
      <c r="UOM63" s="10"/>
      <c r="UON63" s="10"/>
      <c r="UOO63" s="10"/>
      <c r="UOP63" s="10"/>
      <c r="UOQ63" s="10"/>
      <c r="UOR63" s="10"/>
      <c r="UOS63" s="10"/>
      <c r="UOT63" s="10"/>
      <c r="UOU63" s="10"/>
      <c r="UOV63" s="10"/>
      <c r="UOW63" s="10"/>
      <c r="UOX63" s="10"/>
      <c r="UOY63" s="10"/>
      <c r="UOZ63" s="10"/>
      <c r="UPA63" s="10"/>
      <c r="UPB63" s="10"/>
      <c r="UPC63" s="10"/>
      <c r="UPD63" s="10"/>
      <c r="UPE63" s="10"/>
      <c r="UPF63" s="10"/>
      <c r="UPG63" s="10"/>
      <c r="UPH63" s="10"/>
      <c r="UPI63" s="10"/>
      <c r="UPJ63" s="10"/>
      <c r="UPK63" s="10"/>
      <c r="UPL63" s="10"/>
      <c r="UPM63" s="10"/>
      <c r="UPN63" s="10"/>
      <c r="UPO63" s="10"/>
      <c r="UPP63" s="10"/>
      <c r="UPQ63" s="10"/>
      <c r="UPR63" s="10"/>
      <c r="UPS63" s="10"/>
      <c r="UPT63" s="10"/>
      <c r="UPU63" s="10"/>
      <c r="UPV63" s="10"/>
      <c r="UPW63" s="10"/>
      <c r="UPX63" s="10"/>
      <c r="UPY63" s="10"/>
      <c r="UPZ63" s="10"/>
      <c r="UQA63" s="10"/>
      <c r="UQB63" s="10"/>
      <c r="UQC63" s="10"/>
      <c r="UQD63" s="10"/>
      <c r="UQE63" s="10"/>
      <c r="UQF63" s="10"/>
      <c r="UQG63" s="10"/>
      <c r="UQH63" s="10"/>
      <c r="UQI63" s="10"/>
      <c r="UQJ63" s="10"/>
      <c r="UQK63" s="10"/>
      <c r="UQL63" s="10"/>
      <c r="UQM63" s="10"/>
      <c r="UQN63" s="10"/>
      <c r="UQO63" s="10"/>
      <c r="UQP63" s="10"/>
      <c r="UQQ63" s="10"/>
      <c r="UQR63" s="10"/>
      <c r="UQS63" s="10"/>
      <c r="UQT63" s="10"/>
      <c r="UQU63" s="10"/>
      <c r="UQV63" s="10"/>
      <c r="UQW63" s="10"/>
      <c r="UQX63" s="10"/>
      <c r="UQY63" s="10"/>
      <c r="UQZ63" s="10"/>
      <c r="URA63" s="10"/>
      <c r="URB63" s="10"/>
      <c r="URC63" s="10"/>
      <c r="URD63" s="10"/>
      <c r="URE63" s="10"/>
      <c r="URF63" s="10"/>
      <c r="URG63" s="10"/>
      <c r="URH63" s="10"/>
      <c r="URI63" s="10"/>
      <c r="URJ63" s="10"/>
      <c r="URK63" s="10"/>
      <c r="URL63" s="10"/>
      <c r="URM63" s="10"/>
      <c r="URN63" s="10"/>
      <c r="URO63" s="10"/>
      <c r="URP63" s="10"/>
      <c r="URQ63" s="10"/>
      <c r="URR63" s="10"/>
      <c r="URS63" s="10"/>
      <c r="URT63" s="10"/>
      <c r="URU63" s="10"/>
      <c r="URV63" s="10"/>
      <c r="URW63" s="10"/>
      <c r="URX63" s="10"/>
      <c r="URY63" s="10"/>
      <c r="URZ63" s="10"/>
      <c r="USA63" s="10"/>
      <c r="USB63" s="10"/>
      <c r="USC63" s="10"/>
      <c r="USD63" s="10"/>
      <c r="USE63" s="10"/>
      <c r="USF63" s="10"/>
      <c r="USG63" s="10"/>
      <c r="USH63" s="10"/>
      <c r="USI63" s="10"/>
      <c r="USJ63" s="10"/>
      <c r="USK63" s="10"/>
      <c r="USL63" s="10"/>
      <c r="USM63" s="10"/>
      <c r="USN63" s="10"/>
      <c r="USO63" s="10"/>
      <c r="USP63" s="10"/>
      <c r="USQ63" s="10"/>
      <c r="USR63" s="10"/>
      <c r="USS63" s="10"/>
      <c r="UST63" s="10"/>
      <c r="USU63" s="10"/>
      <c r="USV63" s="10"/>
      <c r="USW63" s="10"/>
      <c r="USX63" s="10"/>
      <c r="USY63" s="10"/>
      <c r="USZ63" s="10"/>
      <c r="UTA63" s="10"/>
      <c r="UTB63" s="10"/>
      <c r="UTC63" s="10"/>
      <c r="UTD63" s="10"/>
      <c r="UTE63" s="10"/>
      <c r="UTF63" s="10"/>
      <c r="UTG63" s="10"/>
      <c r="UTH63" s="10"/>
      <c r="UTI63" s="10"/>
      <c r="UTJ63" s="10"/>
      <c r="UTK63" s="10"/>
      <c r="UTL63" s="10"/>
      <c r="UTM63" s="10"/>
      <c r="UTN63" s="10"/>
      <c r="UTO63" s="10"/>
      <c r="UTP63" s="10"/>
      <c r="UTQ63" s="10"/>
      <c r="UTR63" s="10"/>
      <c r="UTS63" s="10"/>
      <c r="UTT63" s="10"/>
      <c r="UTU63" s="10"/>
      <c r="UTV63" s="10"/>
      <c r="UTW63" s="10"/>
      <c r="UTX63" s="10"/>
      <c r="UTY63" s="10"/>
      <c r="UTZ63" s="10"/>
      <c r="UUA63" s="10"/>
      <c r="UUB63" s="10"/>
      <c r="UUC63" s="10"/>
      <c r="UUD63" s="10"/>
      <c r="UUE63" s="10"/>
      <c r="UUF63" s="10"/>
      <c r="UUG63" s="10"/>
      <c r="UUH63" s="10"/>
      <c r="UUI63" s="10"/>
      <c r="UUJ63" s="10"/>
      <c r="UUK63" s="10"/>
      <c r="UUL63" s="10"/>
      <c r="UUM63" s="10"/>
      <c r="UUN63" s="10"/>
      <c r="UUO63" s="10"/>
      <c r="UUP63" s="10"/>
      <c r="UUQ63" s="10"/>
      <c r="UUR63" s="10"/>
      <c r="UUS63" s="10"/>
      <c r="UUT63" s="10"/>
      <c r="UUU63" s="10"/>
      <c r="UUV63" s="10"/>
      <c r="UUW63" s="10"/>
      <c r="UUX63" s="10"/>
      <c r="UUY63" s="10"/>
      <c r="UUZ63" s="10"/>
      <c r="UVA63" s="10"/>
      <c r="UVB63" s="10"/>
      <c r="UVC63" s="10"/>
      <c r="UVD63" s="10"/>
      <c r="UVE63" s="10"/>
      <c r="UVF63" s="10"/>
      <c r="UVG63" s="10"/>
      <c r="UVH63" s="10"/>
      <c r="UVI63" s="10"/>
      <c r="UVJ63" s="10"/>
      <c r="UVK63" s="10"/>
      <c r="UVL63" s="10"/>
      <c r="UVM63" s="10"/>
      <c r="UVN63" s="10"/>
      <c r="UVO63" s="10"/>
      <c r="UVP63" s="10"/>
      <c r="UVQ63" s="10"/>
      <c r="UVR63" s="10"/>
      <c r="UVS63" s="10"/>
      <c r="UVT63" s="10"/>
      <c r="UVU63" s="10"/>
      <c r="UVV63" s="10"/>
      <c r="UVW63" s="10"/>
      <c r="UVX63" s="10"/>
      <c r="UVY63" s="10"/>
      <c r="UVZ63" s="10"/>
      <c r="UWA63" s="10"/>
      <c r="UWB63" s="10"/>
      <c r="UWC63" s="10"/>
      <c r="UWD63" s="10"/>
      <c r="UWE63" s="10"/>
      <c r="UWF63" s="10"/>
      <c r="UWG63" s="10"/>
      <c r="UWH63" s="10"/>
      <c r="UWI63" s="10"/>
      <c r="UWJ63" s="10"/>
      <c r="UWK63" s="10"/>
      <c r="UWL63" s="10"/>
      <c r="UWM63" s="10"/>
      <c r="UWN63" s="10"/>
      <c r="UWO63" s="10"/>
      <c r="UWP63" s="10"/>
      <c r="UWQ63" s="10"/>
      <c r="UWR63" s="10"/>
      <c r="UWS63" s="10"/>
      <c r="UWT63" s="10"/>
      <c r="UWU63" s="10"/>
      <c r="UWV63" s="10"/>
      <c r="UWW63" s="10"/>
      <c r="UWX63" s="10"/>
      <c r="UWY63" s="10"/>
      <c r="UWZ63" s="10"/>
      <c r="UXA63" s="10"/>
      <c r="UXB63" s="10"/>
      <c r="UXC63" s="10"/>
      <c r="UXD63" s="10"/>
      <c r="UXE63" s="10"/>
      <c r="UXF63" s="10"/>
      <c r="UXG63" s="10"/>
      <c r="UXH63" s="10"/>
      <c r="UXI63" s="10"/>
      <c r="UXJ63" s="10"/>
      <c r="UXK63" s="10"/>
      <c r="UXL63" s="10"/>
      <c r="UXM63" s="10"/>
      <c r="UXN63" s="10"/>
      <c r="UXO63" s="10"/>
      <c r="UXP63" s="10"/>
      <c r="UXQ63" s="10"/>
      <c r="UXR63" s="10"/>
      <c r="UXS63" s="10"/>
      <c r="UXT63" s="10"/>
      <c r="UXU63" s="10"/>
      <c r="UXV63" s="10"/>
      <c r="UXW63" s="10"/>
      <c r="UXX63" s="10"/>
      <c r="UXY63" s="10"/>
      <c r="UXZ63" s="10"/>
      <c r="UYA63" s="10"/>
      <c r="UYB63" s="10"/>
      <c r="UYC63" s="10"/>
      <c r="UYD63" s="10"/>
      <c r="UYE63" s="10"/>
      <c r="UYF63" s="10"/>
      <c r="UYG63" s="10"/>
      <c r="UYH63" s="10"/>
      <c r="UYI63" s="10"/>
      <c r="UYJ63" s="10"/>
      <c r="UYK63" s="10"/>
      <c r="UYL63" s="10"/>
      <c r="UYM63" s="10"/>
      <c r="UYN63" s="10"/>
      <c r="UYO63" s="10"/>
      <c r="UYP63" s="10"/>
      <c r="UYQ63" s="10"/>
      <c r="UYR63" s="10"/>
      <c r="UYS63" s="10"/>
      <c r="UYT63" s="10"/>
      <c r="UYU63" s="10"/>
      <c r="UYV63" s="10"/>
      <c r="UYW63" s="10"/>
      <c r="UYX63" s="10"/>
      <c r="UYY63" s="10"/>
      <c r="UYZ63" s="10"/>
      <c r="UZA63" s="10"/>
      <c r="UZB63" s="10"/>
      <c r="UZC63" s="10"/>
      <c r="UZD63" s="10"/>
      <c r="UZE63" s="10"/>
      <c r="UZF63" s="10"/>
      <c r="UZG63" s="10"/>
      <c r="UZH63" s="10"/>
      <c r="UZI63" s="10"/>
      <c r="UZJ63" s="10"/>
      <c r="UZK63" s="10"/>
      <c r="UZL63" s="10"/>
      <c r="UZM63" s="10"/>
      <c r="UZN63" s="10"/>
      <c r="UZO63" s="10"/>
      <c r="UZP63" s="10"/>
      <c r="UZQ63" s="10"/>
      <c r="UZR63" s="10"/>
      <c r="UZS63" s="10"/>
      <c r="UZT63" s="10"/>
      <c r="UZU63" s="10"/>
      <c r="UZV63" s="10"/>
      <c r="UZW63" s="10"/>
      <c r="UZX63" s="10"/>
      <c r="UZY63" s="10"/>
      <c r="UZZ63" s="10"/>
      <c r="VAA63" s="10"/>
      <c r="VAB63" s="10"/>
      <c r="VAC63" s="10"/>
      <c r="VAD63" s="10"/>
      <c r="VAE63" s="10"/>
      <c r="VAF63" s="10"/>
      <c r="VAG63" s="10"/>
      <c r="VAH63" s="10"/>
      <c r="VAI63" s="10"/>
      <c r="VAJ63" s="10"/>
      <c r="VAK63" s="10"/>
      <c r="VAL63" s="10"/>
      <c r="VAM63" s="10"/>
      <c r="VAN63" s="10"/>
      <c r="VAO63" s="10"/>
      <c r="VAP63" s="10"/>
      <c r="VAQ63" s="10"/>
      <c r="VAR63" s="10"/>
      <c r="VAS63" s="10"/>
      <c r="VAT63" s="10"/>
      <c r="VAU63" s="10"/>
      <c r="VAV63" s="10"/>
      <c r="VAW63" s="10"/>
      <c r="VAX63" s="10"/>
      <c r="VAY63" s="10"/>
      <c r="VAZ63" s="10"/>
      <c r="VBA63" s="10"/>
      <c r="VBB63" s="10"/>
      <c r="VBC63" s="10"/>
      <c r="VBD63" s="10"/>
      <c r="VBE63" s="10"/>
      <c r="VBF63" s="10"/>
      <c r="VBG63" s="10"/>
      <c r="VBH63" s="10"/>
      <c r="VBI63" s="10"/>
      <c r="VBJ63" s="10"/>
      <c r="VBK63" s="10"/>
      <c r="VBL63" s="10"/>
      <c r="VBM63" s="10"/>
      <c r="VBN63" s="10"/>
      <c r="VBO63" s="10"/>
      <c r="VBP63" s="10"/>
      <c r="VBQ63" s="10"/>
      <c r="VBR63" s="10"/>
      <c r="VBS63" s="10"/>
      <c r="VBT63" s="10"/>
      <c r="VBU63" s="10"/>
      <c r="VBV63" s="10"/>
      <c r="VBW63" s="10"/>
      <c r="VBX63" s="10"/>
      <c r="VBY63" s="10"/>
      <c r="VBZ63" s="10"/>
      <c r="VCA63" s="10"/>
      <c r="VCB63" s="10"/>
      <c r="VCC63" s="10"/>
      <c r="VCD63" s="10"/>
      <c r="VCE63" s="10"/>
      <c r="VCF63" s="10"/>
      <c r="VCG63" s="10"/>
      <c r="VCH63" s="10"/>
      <c r="VCI63" s="10"/>
      <c r="VCJ63" s="10"/>
      <c r="VCK63" s="10"/>
      <c r="VCL63" s="10"/>
      <c r="VCM63" s="10"/>
      <c r="VCN63" s="10"/>
      <c r="VCO63" s="10"/>
      <c r="VCP63" s="10"/>
      <c r="VCQ63" s="10"/>
      <c r="VCR63" s="10"/>
      <c r="VCS63" s="10"/>
      <c r="VCT63" s="10"/>
      <c r="VCU63" s="10"/>
      <c r="VCV63" s="10"/>
      <c r="VCW63" s="10"/>
      <c r="VCX63" s="10"/>
      <c r="VCY63" s="10"/>
      <c r="VCZ63" s="10"/>
      <c r="VDA63" s="10"/>
      <c r="VDB63" s="10"/>
      <c r="VDC63" s="10"/>
      <c r="VDD63" s="10"/>
      <c r="VDE63" s="10"/>
      <c r="VDF63" s="10"/>
      <c r="VDG63" s="10"/>
      <c r="VDH63" s="10"/>
      <c r="VDI63" s="10"/>
      <c r="VDJ63" s="10"/>
      <c r="VDK63" s="10"/>
      <c r="VDL63" s="10"/>
      <c r="VDM63" s="10"/>
      <c r="VDN63" s="10"/>
      <c r="VDO63" s="10"/>
      <c r="VDP63" s="10"/>
      <c r="VDQ63" s="10"/>
      <c r="VDR63" s="10"/>
      <c r="VDS63" s="10"/>
      <c r="VDT63" s="10"/>
      <c r="VDU63" s="10"/>
      <c r="VDV63" s="10"/>
      <c r="VDW63" s="10"/>
      <c r="VDX63" s="10"/>
      <c r="VDY63" s="10"/>
      <c r="VDZ63" s="10"/>
      <c r="VEA63" s="10"/>
      <c r="VEB63" s="10"/>
      <c r="VEC63" s="10"/>
      <c r="VED63" s="10"/>
      <c r="VEE63" s="10"/>
      <c r="VEF63" s="10"/>
      <c r="VEG63" s="10"/>
      <c r="VEH63" s="10"/>
      <c r="VEI63" s="10"/>
      <c r="VEJ63" s="10"/>
      <c r="VEK63" s="10"/>
      <c r="VEL63" s="10"/>
      <c r="VEM63" s="10"/>
      <c r="VEN63" s="10"/>
      <c r="VEO63" s="10"/>
      <c r="VEP63" s="10"/>
      <c r="VEQ63" s="10"/>
      <c r="VER63" s="10"/>
      <c r="VES63" s="10"/>
      <c r="VET63" s="10"/>
      <c r="VEU63" s="10"/>
      <c r="VEV63" s="10"/>
      <c r="VEW63" s="10"/>
      <c r="VEX63" s="10"/>
      <c r="VEY63" s="10"/>
      <c r="VEZ63" s="10"/>
      <c r="VFA63" s="10"/>
      <c r="VFB63" s="10"/>
      <c r="VFC63" s="10"/>
      <c r="VFD63" s="10"/>
      <c r="VFE63" s="10"/>
      <c r="VFF63" s="10"/>
      <c r="VFG63" s="10"/>
      <c r="VFH63" s="10"/>
      <c r="VFI63" s="10"/>
      <c r="VFJ63" s="10"/>
      <c r="VFK63" s="10"/>
      <c r="VFL63" s="10"/>
      <c r="VFM63" s="10"/>
      <c r="VFN63" s="10"/>
      <c r="VFO63" s="10"/>
      <c r="VFP63" s="10"/>
      <c r="VFQ63" s="10"/>
      <c r="VFR63" s="10"/>
      <c r="VFS63" s="10"/>
      <c r="VFT63" s="10"/>
      <c r="VFU63" s="10"/>
      <c r="VFV63" s="10"/>
      <c r="VFW63" s="10"/>
      <c r="VFX63" s="10"/>
      <c r="VFY63" s="10"/>
      <c r="VFZ63" s="10"/>
      <c r="VGA63" s="10"/>
      <c r="VGB63" s="10"/>
      <c r="VGC63" s="10"/>
      <c r="VGD63" s="10"/>
      <c r="VGE63" s="10"/>
      <c r="VGF63" s="10"/>
      <c r="VGG63" s="10"/>
      <c r="VGH63" s="10"/>
      <c r="VGI63" s="10"/>
      <c r="VGJ63" s="10"/>
      <c r="VGK63" s="10"/>
      <c r="VGL63" s="10"/>
      <c r="VGM63" s="10"/>
      <c r="VGN63" s="10"/>
      <c r="VGO63" s="10"/>
      <c r="VGP63" s="10"/>
      <c r="VGQ63" s="10"/>
      <c r="VGR63" s="10"/>
      <c r="VGS63" s="10"/>
      <c r="VGT63" s="10"/>
      <c r="VGU63" s="10"/>
      <c r="VGV63" s="10"/>
      <c r="VGW63" s="10"/>
      <c r="VGX63" s="10"/>
      <c r="VGY63" s="10"/>
      <c r="VGZ63" s="10"/>
      <c r="VHA63" s="10"/>
      <c r="VHB63" s="10"/>
      <c r="VHC63" s="10"/>
      <c r="VHD63" s="10"/>
      <c r="VHE63" s="10"/>
      <c r="VHF63" s="10"/>
      <c r="VHG63" s="10"/>
      <c r="VHH63" s="10"/>
      <c r="VHI63" s="10"/>
      <c r="VHJ63" s="10"/>
      <c r="VHK63" s="10"/>
      <c r="VHL63" s="10"/>
      <c r="VHM63" s="10"/>
      <c r="VHN63" s="10"/>
      <c r="VHO63" s="10"/>
      <c r="VHP63" s="10"/>
      <c r="VHQ63" s="10"/>
      <c r="VHR63" s="10"/>
      <c r="VHS63" s="10"/>
      <c r="VHT63" s="10"/>
      <c r="VHU63" s="10"/>
      <c r="VHV63" s="10"/>
      <c r="VHW63" s="10"/>
      <c r="VHX63" s="10"/>
      <c r="VHY63" s="10"/>
      <c r="VHZ63" s="10"/>
      <c r="VIA63" s="10"/>
      <c r="VIB63" s="10"/>
      <c r="VIC63" s="10"/>
      <c r="VID63" s="10"/>
      <c r="VIE63" s="10"/>
      <c r="VIF63" s="10"/>
      <c r="VIG63" s="10"/>
      <c r="VIH63" s="10"/>
      <c r="VII63" s="10"/>
      <c r="VIJ63" s="10"/>
      <c r="VIK63" s="10"/>
      <c r="VIL63" s="10"/>
      <c r="VIM63" s="10"/>
      <c r="VIN63" s="10"/>
      <c r="VIO63" s="10"/>
      <c r="VIP63" s="10"/>
      <c r="VIQ63" s="10"/>
      <c r="VIR63" s="10"/>
      <c r="VIS63" s="10"/>
      <c r="VIT63" s="10"/>
      <c r="VIU63" s="10"/>
      <c r="VIV63" s="10"/>
      <c r="VIW63" s="10"/>
      <c r="VIX63" s="10"/>
      <c r="VIY63" s="10"/>
      <c r="VIZ63" s="10"/>
      <c r="VJA63" s="10"/>
      <c r="VJB63" s="10"/>
      <c r="VJC63" s="10"/>
      <c r="VJD63" s="10"/>
      <c r="VJE63" s="10"/>
      <c r="VJF63" s="10"/>
      <c r="VJG63" s="10"/>
      <c r="VJH63" s="10"/>
      <c r="VJI63" s="10"/>
      <c r="VJJ63" s="10"/>
      <c r="VJK63" s="10"/>
      <c r="VJL63" s="10"/>
      <c r="VJM63" s="10"/>
      <c r="VJN63" s="10"/>
      <c r="VJO63" s="10"/>
      <c r="VJP63" s="10"/>
      <c r="VJQ63" s="10"/>
      <c r="VJR63" s="10"/>
      <c r="VJS63" s="10"/>
      <c r="VJT63" s="10"/>
      <c r="VJU63" s="10"/>
      <c r="VJV63" s="10"/>
      <c r="VJW63" s="10"/>
      <c r="VJX63" s="10"/>
      <c r="VJY63" s="10"/>
      <c r="VJZ63" s="10"/>
      <c r="VKA63" s="10"/>
      <c r="VKB63" s="10"/>
      <c r="VKC63" s="10"/>
      <c r="VKD63" s="10"/>
      <c r="VKE63" s="10"/>
      <c r="VKF63" s="10"/>
      <c r="VKG63" s="10"/>
      <c r="VKH63" s="10"/>
      <c r="VKI63" s="10"/>
      <c r="VKJ63" s="10"/>
      <c r="VKK63" s="10"/>
      <c r="VKL63" s="10"/>
      <c r="VKM63" s="10"/>
      <c r="VKN63" s="10"/>
      <c r="VKO63" s="10"/>
      <c r="VKP63" s="10"/>
      <c r="VKQ63" s="10"/>
      <c r="VKR63" s="10"/>
      <c r="VKS63" s="10"/>
      <c r="VKT63" s="10"/>
      <c r="VKU63" s="10"/>
      <c r="VKV63" s="10"/>
      <c r="VKW63" s="10"/>
      <c r="VKX63" s="10"/>
      <c r="VKY63" s="10"/>
      <c r="VKZ63" s="10"/>
      <c r="VLA63" s="10"/>
      <c r="VLB63" s="10"/>
      <c r="VLC63" s="10"/>
      <c r="VLD63" s="10"/>
      <c r="VLE63" s="10"/>
      <c r="VLF63" s="10"/>
      <c r="VLG63" s="10"/>
      <c r="VLH63" s="10"/>
      <c r="VLI63" s="10"/>
      <c r="VLJ63" s="10"/>
      <c r="VLK63" s="10"/>
      <c r="VLL63" s="10"/>
      <c r="VLM63" s="10"/>
      <c r="VLN63" s="10"/>
      <c r="VLO63" s="10"/>
      <c r="VLP63" s="10"/>
      <c r="VLQ63" s="10"/>
      <c r="VLR63" s="10"/>
      <c r="VLS63" s="10"/>
      <c r="VLT63" s="10"/>
      <c r="VLU63" s="10"/>
      <c r="VLV63" s="10"/>
      <c r="VLW63" s="10"/>
      <c r="VLX63" s="10"/>
      <c r="VLY63" s="10"/>
      <c r="VLZ63" s="10"/>
      <c r="VMA63" s="10"/>
      <c r="VMB63" s="10"/>
      <c r="VMC63" s="10"/>
      <c r="VMD63" s="10"/>
      <c r="VME63" s="10"/>
      <c r="VMF63" s="10"/>
      <c r="VMG63" s="10"/>
      <c r="VMH63" s="10"/>
      <c r="VMI63" s="10"/>
      <c r="VMJ63" s="10"/>
      <c r="VMK63" s="10"/>
      <c r="VML63" s="10"/>
      <c r="VMM63" s="10"/>
      <c r="VMN63" s="10"/>
      <c r="VMO63" s="10"/>
      <c r="VMP63" s="10"/>
      <c r="VMQ63" s="10"/>
      <c r="VMR63" s="10"/>
      <c r="VMS63" s="10"/>
      <c r="VMT63" s="10"/>
      <c r="VMU63" s="10"/>
      <c r="VMV63" s="10"/>
      <c r="VMW63" s="10"/>
      <c r="VMX63" s="10"/>
      <c r="VMY63" s="10"/>
      <c r="VMZ63" s="10"/>
      <c r="VNA63" s="10"/>
      <c r="VNB63" s="10"/>
      <c r="VNC63" s="10"/>
      <c r="VND63" s="10"/>
      <c r="VNE63" s="10"/>
      <c r="VNF63" s="10"/>
      <c r="VNG63" s="10"/>
      <c r="VNH63" s="10"/>
      <c r="VNI63" s="10"/>
      <c r="VNJ63" s="10"/>
      <c r="VNK63" s="10"/>
      <c r="VNL63" s="10"/>
      <c r="VNM63" s="10"/>
      <c r="VNN63" s="10"/>
      <c r="VNO63" s="10"/>
      <c r="VNP63" s="10"/>
      <c r="VNQ63" s="10"/>
      <c r="VNR63" s="10"/>
      <c r="VNS63" s="10"/>
      <c r="VNT63" s="10"/>
      <c r="VNU63" s="10"/>
      <c r="VNV63" s="10"/>
      <c r="VNW63" s="10"/>
      <c r="VNX63" s="10"/>
      <c r="VNY63" s="10"/>
      <c r="VNZ63" s="10"/>
      <c r="VOA63" s="10"/>
      <c r="VOB63" s="10"/>
      <c r="VOC63" s="10"/>
      <c r="VOD63" s="10"/>
      <c r="VOE63" s="10"/>
      <c r="VOF63" s="10"/>
      <c r="VOG63" s="10"/>
      <c r="VOH63" s="10"/>
      <c r="VOI63" s="10"/>
      <c r="VOJ63" s="10"/>
      <c r="VOK63" s="10"/>
      <c r="VOL63" s="10"/>
      <c r="VOM63" s="10"/>
      <c r="VON63" s="10"/>
      <c r="VOO63" s="10"/>
      <c r="VOP63" s="10"/>
      <c r="VOQ63" s="10"/>
      <c r="VOR63" s="10"/>
      <c r="VOS63" s="10"/>
      <c r="VOT63" s="10"/>
      <c r="VOU63" s="10"/>
      <c r="VOV63" s="10"/>
      <c r="VOW63" s="10"/>
      <c r="VOX63" s="10"/>
      <c r="VOY63" s="10"/>
      <c r="VOZ63" s="10"/>
      <c r="VPA63" s="10"/>
      <c r="VPB63" s="10"/>
      <c r="VPC63" s="10"/>
      <c r="VPD63" s="10"/>
      <c r="VPE63" s="10"/>
      <c r="VPF63" s="10"/>
      <c r="VPG63" s="10"/>
      <c r="VPH63" s="10"/>
      <c r="VPI63" s="10"/>
      <c r="VPJ63" s="10"/>
      <c r="VPK63" s="10"/>
      <c r="VPL63" s="10"/>
      <c r="VPM63" s="10"/>
      <c r="VPN63" s="10"/>
      <c r="VPO63" s="10"/>
      <c r="VPP63" s="10"/>
      <c r="VPQ63" s="10"/>
      <c r="VPR63" s="10"/>
      <c r="VPS63" s="10"/>
      <c r="VPT63" s="10"/>
      <c r="VPU63" s="10"/>
      <c r="VPV63" s="10"/>
      <c r="VPW63" s="10"/>
      <c r="VPX63" s="10"/>
      <c r="VPY63" s="10"/>
      <c r="VPZ63" s="10"/>
      <c r="VQA63" s="10"/>
      <c r="VQB63" s="10"/>
      <c r="VQC63" s="10"/>
      <c r="VQD63" s="10"/>
      <c r="VQE63" s="10"/>
      <c r="VQF63" s="10"/>
      <c r="VQG63" s="10"/>
      <c r="VQH63" s="10"/>
      <c r="VQI63" s="10"/>
      <c r="VQJ63" s="10"/>
      <c r="VQK63" s="10"/>
      <c r="VQL63" s="10"/>
      <c r="VQM63" s="10"/>
      <c r="VQN63" s="10"/>
      <c r="VQO63" s="10"/>
      <c r="VQP63" s="10"/>
      <c r="VQQ63" s="10"/>
      <c r="VQR63" s="10"/>
      <c r="VQS63" s="10"/>
      <c r="VQT63" s="10"/>
      <c r="VQU63" s="10"/>
      <c r="VQV63" s="10"/>
      <c r="VQW63" s="10"/>
      <c r="VQX63" s="10"/>
      <c r="VQY63" s="10"/>
      <c r="VQZ63" s="10"/>
      <c r="VRA63" s="10"/>
      <c r="VRB63" s="10"/>
      <c r="VRC63" s="10"/>
      <c r="VRD63" s="10"/>
      <c r="VRE63" s="10"/>
      <c r="VRF63" s="10"/>
      <c r="VRG63" s="10"/>
      <c r="VRH63" s="10"/>
      <c r="VRI63" s="10"/>
      <c r="VRJ63" s="10"/>
      <c r="VRK63" s="10"/>
      <c r="VRL63" s="10"/>
      <c r="VRM63" s="10"/>
      <c r="VRN63" s="10"/>
      <c r="VRO63" s="10"/>
      <c r="VRP63" s="10"/>
      <c r="VRQ63" s="10"/>
      <c r="VRR63" s="10"/>
      <c r="VRS63" s="10"/>
      <c r="VRT63" s="10"/>
      <c r="VRU63" s="10"/>
      <c r="VRV63" s="10"/>
      <c r="VRW63" s="10"/>
      <c r="VRX63" s="10"/>
      <c r="VRY63" s="10"/>
      <c r="VRZ63" s="10"/>
      <c r="VSA63" s="10"/>
      <c r="VSB63" s="10"/>
      <c r="VSC63" s="10"/>
      <c r="VSD63" s="10"/>
      <c r="VSE63" s="10"/>
      <c r="VSF63" s="10"/>
      <c r="VSG63" s="10"/>
      <c r="VSH63" s="10"/>
      <c r="VSI63" s="10"/>
      <c r="VSJ63" s="10"/>
      <c r="VSK63" s="10"/>
      <c r="VSL63" s="10"/>
      <c r="VSM63" s="10"/>
      <c r="VSN63" s="10"/>
      <c r="VSO63" s="10"/>
      <c r="VSP63" s="10"/>
      <c r="VSQ63" s="10"/>
      <c r="VSR63" s="10"/>
      <c r="VSS63" s="10"/>
      <c r="VST63" s="10"/>
      <c r="VSU63" s="10"/>
      <c r="VSV63" s="10"/>
      <c r="VSW63" s="10"/>
      <c r="VSX63" s="10"/>
      <c r="VSY63" s="10"/>
      <c r="VSZ63" s="10"/>
      <c r="VTA63" s="10"/>
      <c r="VTB63" s="10"/>
      <c r="VTC63" s="10"/>
      <c r="VTD63" s="10"/>
      <c r="VTE63" s="10"/>
      <c r="VTF63" s="10"/>
      <c r="VTG63" s="10"/>
      <c r="VTH63" s="10"/>
      <c r="VTI63" s="10"/>
      <c r="VTJ63" s="10"/>
      <c r="VTK63" s="10"/>
      <c r="VTL63" s="10"/>
      <c r="VTM63" s="10"/>
      <c r="VTN63" s="10"/>
      <c r="VTO63" s="10"/>
      <c r="VTP63" s="10"/>
      <c r="VTQ63" s="10"/>
      <c r="VTR63" s="10"/>
      <c r="VTS63" s="10"/>
      <c r="VTT63" s="10"/>
      <c r="VTU63" s="10"/>
      <c r="VTV63" s="10"/>
      <c r="VTW63" s="10"/>
      <c r="VTX63" s="10"/>
      <c r="VTY63" s="10"/>
      <c r="VTZ63" s="10"/>
      <c r="VUA63" s="10"/>
      <c r="VUB63" s="10"/>
      <c r="VUC63" s="10"/>
      <c r="VUD63" s="10"/>
      <c r="VUE63" s="10"/>
      <c r="VUF63" s="10"/>
      <c r="VUG63" s="10"/>
      <c r="VUH63" s="10"/>
      <c r="VUI63" s="10"/>
      <c r="VUJ63" s="10"/>
      <c r="VUK63" s="10"/>
      <c r="VUL63" s="10"/>
      <c r="VUM63" s="10"/>
      <c r="VUN63" s="10"/>
      <c r="VUO63" s="10"/>
      <c r="VUP63" s="10"/>
      <c r="VUQ63" s="10"/>
      <c r="VUR63" s="10"/>
      <c r="VUS63" s="10"/>
      <c r="VUT63" s="10"/>
      <c r="VUU63" s="10"/>
      <c r="VUV63" s="10"/>
      <c r="VUW63" s="10"/>
      <c r="VUX63" s="10"/>
      <c r="VUY63" s="10"/>
      <c r="VUZ63" s="10"/>
      <c r="VVA63" s="10"/>
      <c r="VVB63" s="10"/>
      <c r="VVC63" s="10"/>
      <c r="VVD63" s="10"/>
      <c r="VVE63" s="10"/>
      <c r="VVF63" s="10"/>
      <c r="VVG63" s="10"/>
      <c r="VVH63" s="10"/>
      <c r="VVI63" s="10"/>
      <c r="VVJ63" s="10"/>
      <c r="VVK63" s="10"/>
      <c r="VVL63" s="10"/>
      <c r="VVM63" s="10"/>
      <c r="VVN63" s="10"/>
      <c r="VVO63" s="10"/>
      <c r="VVP63" s="10"/>
      <c r="VVQ63" s="10"/>
      <c r="VVR63" s="10"/>
      <c r="VVS63" s="10"/>
      <c r="VVT63" s="10"/>
      <c r="VVU63" s="10"/>
      <c r="VVV63" s="10"/>
      <c r="VVW63" s="10"/>
      <c r="VVX63" s="10"/>
      <c r="VVY63" s="10"/>
      <c r="VVZ63" s="10"/>
      <c r="VWA63" s="10"/>
      <c r="VWB63" s="10"/>
      <c r="VWC63" s="10"/>
      <c r="VWD63" s="10"/>
      <c r="VWE63" s="10"/>
      <c r="VWF63" s="10"/>
      <c r="VWG63" s="10"/>
      <c r="VWH63" s="10"/>
      <c r="VWI63" s="10"/>
      <c r="VWJ63" s="10"/>
      <c r="VWK63" s="10"/>
      <c r="VWL63" s="10"/>
      <c r="VWM63" s="10"/>
      <c r="VWN63" s="10"/>
      <c r="VWO63" s="10"/>
      <c r="VWP63" s="10"/>
      <c r="VWQ63" s="10"/>
      <c r="VWR63" s="10"/>
      <c r="VWS63" s="10"/>
      <c r="VWT63" s="10"/>
      <c r="VWU63" s="10"/>
      <c r="VWV63" s="10"/>
      <c r="VWW63" s="10"/>
      <c r="VWX63" s="10"/>
      <c r="VWY63" s="10"/>
      <c r="VWZ63" s="10"/>
      <c r="VXA63" s="10"/>
      <c r="VXB63" s="10"/>
      <c r="VXC63" s="10"/>
      <c r="VXD63" s="10"/>
      <c r="VXE63" s="10"/>
      <c r="VXF63" s="10"/>
      <c r="VXG63" s="10"/>
      <c r="VXH63" s="10"/>
      <c r="VXI63" s="10"/>
      <c r="VXJ63" s="10"/>
      <c r="VXK63" s="10"/>
      <c r="VXL63" s="10"/>
      <c r="VXM63" s="10"/>
      <c r="VXN63" s="10"/>
      <c r="VXO63" s="10"/>
      <c r="VXP63" s="10"/>
      <c r="VXQ63" s="10"/>
      <c r="VXR63" s="10"/>
      <c r="VXS63" s="10"/>
      <c r="VXT63" s="10"/>
      <c r="VXU63" s="10"/>
      <c r="VXV63" s="10"/>
      <c r="VXW63" s="10"/>
      <c r="VXX63" s="10"/>
      <c r="VXY63" s="10"/>
      <c r="VXZ63" s="10"/>
      <c r="VYA63" s="10"/>
      <c r="VYB63" s="10"/>
      <c r="VYC63" s="10"/>
      <c r="VYD63" s="10"/>
      <c r="VYE63" s="10"/>
      <c r="VYF63" s="10"/>
      <c r="VYG63" s="10"/>
      <c r="VYH63" s="10"/>
      <c r="VYI63" s="10"/>
      <c r="VYJ63" s="10"/>
      <c r="VYK63" s="10"/>
      <c r="VYL63" s="10"/>
      <c r="VYM63" s="10"/>
      <c r="VYN63" s="10"/>
      <c r="VYO63" s="10"/>
      <c r="VYP63" s="10"/>
      <c r="VYQ63" s="10"/>
      <c r="VYR63" s="10"/>
      <c r="VYS63" s="10"/>
      <c r="VYT63" s="10"/>
      <c r="VYU63" s="10"/>
      <c r="VYV63" s="10"/>
      <c r="VYW63" s="10"/>
      <c r="VYX63" s="10"/>
      <c r="VYY63" s="10"/>
      <c r="VYZ63" s="10"/>
      <c r="VZA63" s="10"/>
      <c r="VZB63" s="10"/>
      <c r="VZC63" s="10"/>
      <c r="VZD63" s="10"/>
      <c r="VZE63" s="10"/>
      <c r="VZF63" s="10"/>
      <c r="VZG63" s="10"/>
      <c r="VZH63" s="10"/>
      <c r="VZI63" s="10"/>
      <c r="VZJ63" s="10"/>
      <c r="VZK63" s="10"/>
      <c r="VZL63" s="10"/>
      <c r="VZM63" s="10"/>
      <c r="VZN63" s="10"/>
      <c r="VZO63" s="10"/>
      <c r="VZP63" s="10"/>
      <c r="VZQ63" s="10"/>
      <c r="VZR63" s="10"/>
      <c r="VZS63" s="10"/>
      <c r="VZT63" s="10"/>
      <c r="VZU63" s="10"/>
      <c r="VZV63" s="10"/>
      <c r="VZW63" s="10"/>
      <c r="VZX63" s="10"/>
      <c r="VZY63" s="10"/>
      <c r="VZZ63" s="10"/>
      <c r="WAA63" s="10"/>
      <c r="WAB63" s="10"/>
      <c r="WAC63" s="10"/>
      <c r="WAD63" s="10"/>
      <c r="WAE63" s="10"/>
      <c r="WAF63" s="10"/>
      <c r="WAG63" s="10"/>
      <c r="WAH63" s="10"/>
      <c r="WAI63" s="10"/>
      <c r="WAJ63" s="10"/>
      <c r="WAK63" s="10"/>
      <c r="WAL63" s="10"/>
      <c r="WAM63" s="10"/>
      <c r="WAN63" s="10"/>
      <c r="WAO63" s="10"/>
      <c r="WAP63" s="10"/>
      <c r="WAQ63" s="10"/>
      <c r="WAR63" s="10"/>
      <c r="WAS63" s="10"/>
      <c r="WAT63" s="10"/>
      <c r="WAU63" s="10"/>
      <c r="WAV63" s="10"/>
      <c r="WAW63" s="10"/>
      <c r="WAX63" s="10"/>
      <c r="WAY63" s="10"/>
      <c r="WAZ63" s="10"/>
      <c r="WBA63" s="10"/>
      <c r="WBB63" s="10"/>
      <c r="WBC63" s="10"/>
      <c r="WBD63" s="10"/>
      <c r="WBE63" s="10"/>
      <c r="WBF63" s="10"/>
      <c r="WBG63" s="10"/>
      <c r="WBH63" s="10"/>
      <c r="WBI63" s="10"/>
      <c r="WBJ63" s="10"/>
      <c r="WBK63" s="10"/>
      <c r="WBL63" s="10"/>
      <c r="WBM63" s="10"/>
      <c r="WBN63" s="10"/>
      <c r="WBO63" s="10"/>
      <c r="WBP63" s="10"/>
      <c r="WBQ63" s="10"/>
      <c r="WBR63" s="10"/>
      <c r="WBS63" s="10"/>
      <c r="WBT63" s="10"/>
      <c r="WBU63" s="10"/>
      <c r="WBV63" s="10"/>
      <c r="WBW63" s="10"/>
      <c r="WBX63" s="10"/>
      <c r="WBY63" s="10"/>
      <c r="WBZ63" s="10"/>
      <c r="WCA63" s="10"/>
      <c r="WCB63" s="10"/>
      <c r="WCC63" s="10"/>
      <c r="WCD63" s="10"/>
      <c r="WCE63" s="10"/>
      <c r="WCF63" s="10"/>
      <c r="WCG63" s="10"/>
      <c r="WCH63" s="10"/>
      <c r="WCI63" s="10"/>
      <c r="WCJ63" s="10"/>
      <c r="WCK63" s="10"/>
      <c r="WCL63" s="10"/>
      <c r="WCM63" s="10"/>
      <c r="WCN63" s="10"/>
      <c r="WCO63" s="10"/>
      <c r="WCP63" s="10"/>
      <c r="WCQ63" s="10"/>
      <c r="WCR63" s="10"/>
      <c r="WCS63" s="10"/>
      <c r="WCT63" s="10"/>
      <c r="WCU63" s="10"/>
      <c r="WCV63" s="10"/>
      <c r="WCW63" s="10"/>
      <c r="WCX63" s="10"/>
      <c r="WCY63" s="10"/>
      <c r="WCZ63" s="10"/>
      <c r="WDA63" s="10"/>
      <c r="WDB63" s="10"/>
      <c r="WDC63" s="10"/>
      <c r="WDD63" s="10"/>
      <c r="WDE63" s="10"/>
      <c r="WDF63" s="10"/>
      <c r="WDG63" s="10"/>
      <c r="WDH63" s="10"/>
      <c r="WDI63" s="10"/>
      <c r="WDJ63" s="10"/>
      <c r="WDK63" s="10"/>
      <c r="WDL63" s="10"/>
      <c r="WDM63" s="10"/>
      <c r="WDN63" s="10"/>
      <c r="WDO63" s="10"/>
      <c r="WDP63" s="10"/>
      <c r="WDQ63" s="10"/>
      <c r="WDR63" s="10"/>
      <c r="WDS63" s="10"/>
      <c r="WDT63" s="10"/>
      <c r="WDU63" s="10"/>
      <c r="WDV63" s="10"/>
      <c r="WDW63" s="10"/>
      <c r="WDX63" s="10"/>
      <c r="WDY63" s="10"/>
      <c r="WDZ63" s="10"/>
      <c r="WEA63" s="10"/>
      <c r="WEB63" s="10"/>
      <c r="WEC63" s="10"/>
      <c r="WED63" s="10"/>
      <c r="WEE63" s="10"/>
      <c r="WEF63" s="10"/>
      <c r="WEG63" s="10"/>
      <c r="WEH63" s="10"/>
      <c r="WEI63" s="10"/>
      <c r="WEJ63" s="10"/>
      <c r="WEK63" s="10"/>
      <c r="WEL63" s="10"/>
      <c r="WEM63" s="10"/>
      <c r="WEN63" s="10"/>
      <c r="WEO63" s="10"/>
      <c r="WEP63" s="10"/>
      <c r="WEQ63" s="10"/>
      <c r="WER63" s="10"/>
      <c r="WES63" s="10"/>
      <c r="WET63" s="10"/>
      <c r="WEU63" s="10"/>
      <c r="WEV63" s="10"/>
      <c r="WEW63" s="10"/>
      <c r="WEX63" s="10"/>
      <c r="WEY63" s="10"/>
      <c r="WEZ63" s="10"/>
      <c r="WFA63" s="10"/>
      <c r="WFB63" s="10"/>
      <c r="WFC63" s="10"/>
      <c r="WFD63" s="10"/>
      <c r="WFE63" s="10"/>
      <c r="WFF63" s="10"/>
      <c r="WFG63" s="10"/>
      <c r="WFH63" s="10"/>
      <c r="WFI63" s="10"/>
      <c r="WFJ63" s="10"/>
      <c r="WFK63" s="10"/>
      <c r="WFL63" s="10"/>
      <c r="WFM63" s="10"/>
      <c r="WFN63" s="10"/>
      <c r="WFO63" s="10"/>
      <c r="WFP63" s="10"/>
      <c r="WFQ63" s="10"/>
      <c r="WFR63" s="10"/>
      <c r="WFS63" s="10"/>
      <c r="WFT63" s="10"/>
      <c r="WFU63" s="10"/>
      <c r="WFV63" s="10"/>
      <c r="WFW63" s="10"/>
      <c r="WFX63" s="10"/>
      <c r="WFY63" s="10"/>
      <c r="WFZ63" s="10"/>
      <c r="WGA63" s="10"/>
      <c r="WGB63" s="10"/>
      <c r="WGC63" s="10"/>
      <c r="WGD63" s="10"/>
      <c r="WGE63" s="10"/>
      <c r="WGF63" s="10"/>
      <c r="WGG63" s="10"/>
      <c r="WGH63" s="10"/>
      <c r="WGI63" s="10"/>
      <c r="WGJ63" s="10"/>
      <c r="WGK63" s="10"/>
      <c r="WGL63" s="10"/>
      <c r="WGM63" s="10"/>
      <c r="WGN63" s="10"/>
      <c r="WGO63" s="10"/>
      <c r="WGP63" s="10"/>
      <c r="WGQ63" s="10"/>
      <c r="WGR63" s="10"/>
      <c r="WGS63" s="10"/>
      <c r="WGT63" s="10"/>
      <c r="WGU63" s="10"/>
      <c r="WGV63" s="10"/>
      <c r="WGW63" s="10"/>
      <c r="WGX63" s="10"/>
      <c r="WGY63" s="10"/>
      <c r="WGZ63" s="10"/>
      <c r="WHA63" s="10"/>
      <c r="WHB63" s="10"/>
      <c r="WHC63" s="10"/>
      <c r="WHD63" s="10"/>
      <c r="WHE63" s="10"/>
      <c r="WHF63" s="10"/>
      <c r="WHG63" s="10"/>
      <c r="WHH63" s="10"/>
      <c r="WHI63" s="10"/>
      <c r="WHJ63" s="10"/>
      <c r="WHK63" s="10"/>
      <c r="WHL63" s="10"/>
      <c r="WHM63" s="10"/>
      <c r="WHN63" s="10"/>
      <c r="WHO63" s="10"/>
      <c r="WHP63" s="10"/>
      <c r="WHQ63" s="10"/>
      <c r="WHR63" s="10"/>
      <c r="WHS63" s="10"/>
      <c r="WHT63" s="10"/>
      <c r="WHU63" s="10"/>
      <c r="WHV63" s="10"/>
      <c r="WHW63" s="10"/>
      <c r="WHX63" s="10"/>
      <c r="WHY63" s="10"/>
      <c r="WHZ63" s="10"/>
      <c r="WIA63" s="10"/>
      <c r="WIB63" s="10"/>
      <c r="WIC63" s="10"/>
      <c r="WID63" s="10"/>
      <c r="WIE63" s="10"/>
      <c r="WIF63" s="10"/>
      <c r="WIG63" s="10"/>
      <c r="WIH63" s="10"/>
      <c r="WII63" s="10"/>
      <c r="WIJ63" s="10"/>
      <c r="WIK63" s="10"/>
      <c r="WIL63" s="10"/>
      <c r="WIM63" s="10"/>
      <c r="WIN63" s="10"/>
      <c r="WIO63" s="10"/>
      <c r="WIP63" s="10"/>
      <c r="WIQ63" s="10"/>
      <c r="WIR63" s="10"/>
      <c r="WIS63" s="10"/>
      <c r="WIT63" s="10"/>
      <c r="WIU63" s="10"/>
      <c r="WIV63" s="10"/>
      <c r="WIW63" s="10"/>
      <c r="WIX63" s="10"/>
      <c r="WIY63" s="10"/>
      <c r="WIZ63" s="10"/>
      <c r="WJA63" s="10"/>
      <c r="WJB63" s="10"/>
      <c r="WJC63" s="10"/>
      <c r="WJD63" s="10"/>
      <c r="WJE63" s="10"/>
      <c r="WJF63" s="10"/>
      <c r="WJG63" s="10"/>
      <c r="WJH63" s="10"/>
      <c r="WJI63" s="10"/>
      <c r="WJJ63" s="10"/>
      <c r="WJK63" s="10"/>
      <c r="WJL63" s="10"/>
      <c r="WJM63" s="10"/>
      <c r="WJN63" s="10"/>
      <c r="WJO63" s="10"/>
      <c r="WJP63" s="10"/>
      <c r="WJQ63" s="10"/>
      <c r="WJR63" s="10"/>
      <c r="WJS63" s="10"/>
      <c r="WJT63" s="10"/>
      <c r="WJU63" s="10"/>
      <c r="WJV63" s="10"/>
      <c r="WJW63" s="10"/>
      <c r="WJX63" s="10"/>
      <c r="WJY63" s="10"/>
      <c r="WJZ63" s="10"/>
      <c r="WKA63" s="10"/>
      <c r="WKB63" s="10"/>
      <c r="WKC63" s="10"/>
      <c r="WKD63" s="10"/>
      <c r="WKE63" s="10"/>
      <c r="WKF63" s="10"/>
      <c r="WKG63" s="10"/>
      <c r="WKH63" s="10"/>
      <c r="WKI63" s="10"/>
      <c r="WKJ63" s="10"/>
      <c r="WKK63" s="10"/>
      <c r="WKL63" s="10"/>
      <c r="WKM63" s="10"/>
      <c r="WKN63" s="10"/>
      <c r="WKO63" s="10"/>
      <c r="WKP63" s="10"/>
      <c r="WKQ63" s="10"/>
      <c r="WKR63" s="10"/>
      <c r="WKS63" s="10"/>
      <c r="WKT63" s="10"/>
      <c r="WKU63" s="10"/>
      <c r="WKV63" s="10"/>
      <c r="WKW63" s="10"/>
      <c r="WKX63" s="10"/>
      <c r="WKY63" s="10"/>
      <c r="WKZ63" s="10"/>
      <c r="WLA63" s="10"/>
      <c r="WLB63" s="10"/>
      <c r="WLC63" s="10"/>
      <c r="WLD63" s="10"/>
      <c r="WLE63" s="10"/>
      <c r="WLF63" s="10"/>
      <c r="WLG63" s="10"/>
      <c r="WLH63" s="10"/>
      <c r="WLI63" s="10"/>
      <c r="WLJ63" s="10"/>
      <c r="WLK63" s="10"/>
      <c r="WLL63" s="10"/>
      <c r="WLM63" s="10"/>
      <c r="WLN63" s="10"/>
      <c r="WLO63" s="10"/>
      <c r="WLP63" s="10"/>
      <c r="WLQ63" s="10"/>
      <c r="WLR63" s="10"/>
      <c r="WLS63" s="10"/>
      <c r="WLT63" s="10"/>
      <c r="WLU63" s="10"/>
      <c r="WLV63" s="10"/>
      <c r="WLW63" s="10"/>
      <c r="WLX63" s="10"/>
      <c r="WLY63" s="10"/>
      <c r="WLZ63" s="10"/>
      <c r="WMA63" s="10"/>
      <c r="WMB63" s="10"/>
      <c r="WMC63" s="10"/>
      <c r="WMD63" s="10"/>
      <c r="WME63" s="10"/>
      <c r="WMF63" s="10"/>
      <c r="WMG63" s="10"/>
      <c r="WMH63" s="10"/>
      <c r="WMI63" s="10"/>
      <c r="WMJ63" s="10"/>
      <c r="WMK63" s="10"/>
      <c r="WML63" s="10"/>
      <c r="WMM63" s="10"/>
      <c r="WMN63" s="10"/>
      <c r="WMO63" s="10"/>
      <c r="WMP63" s="10"/>
      <c r="WMQ63" s="10"/>
      <c r="WMR63" s="10"/>
      <c r="WMS63" s="10"/>
      <c r="WMT63" s="10"/>
      <c r="WMU63" s="10"/>
      <c r="WMV63" s="10"/>
      <c r="WMW63" s="10"/>
      <c r="WMX63" s="10"/>
      <c r="WMY63" s="10"/>
      <c r="WMZ63" s="10"/>
      <c r="WNA63" s="10"/>
      <c r="WNB63" s="10"/>
      <c r="WNC63" s="10"/>
      <c r="WND63" s="10"/>
      <c r="WNE63" s="10"/>
      <c r="WNF63" s="10"/>
      <c r="WNG63" s="10"/>
      <c r="WNH63" s="10"/>
      <c r="WNI63" s="10"/>
      <c r="WNJ63" s="10"/>
      <c r="WNK63" s="10"/>
      <c r="WNL63" s="10"/>
      <c r="WNM63" s="10"/>
      <c r="WNN63" s="10"/>
      <c r="WNO63" s="10"/>
      <c r="WNP63" s="10"/>
      <c r="WNQ63" s="10"/>
      <c r="WNR63" s="10"/>
      <c r="WNS63" s="10"/>
      <c r="WNT63" s="10"/>
      <c r="WNU63" s="10"/>
      <c r="WNV63" s="10"/>
      <c r="WNW63" s="10"/>
      <c r="WNX63" s="10"/>
      <c r="WNY63" s="10"/>
      <c r="WNZ63" s="10"/>
      <c r="WOA63" s="10"/>
      <c r="WOB63" s="10"/>
      <c r="WOC63" s="10"/>
      <c r="WOD63" s="10"/>
      <c r="WOE63" s="10"/>
      <c r="WOF63" s="10"/>
      <c r="WOG63" s="10"/>
      <c r="WOH63" s="10"/>
      <c r="WOI63" s="10"/>
      <c r="WOJ63" s="10"/>
      <c r="WOK63" s="10"/>
      <c r="WOL63" s="10"/>
      <c r="WOM63" s="10"/>
      <c r="WON63" s="10"/>
      <c r="WOO63" s="10"/>
      <c r="WOP63" s="10"/>
      <c r="WOQ63" s="10"/>
      <c r="WOR63" s="10"/>
      <c r="WOS63" s="10"/>
      <c r="WOT63" s="10"/>
      <c r="WOU63" s="10"/>
      <c r="WOV63" s="10"/>
      <c r="WOW63" s="10"/>
      <c r="WOX63" s="10"/>
      <c r="WOY63" s="10"/>
      <c r="WOZ63" s="10"/>
      <c r="WPA63" s="10"/>
      <c r="WPB63" s="10"/>
      <c r="WPC63" s="10"/>
      <c r="WPD63" s="10"/>
      <c r="WPE63" s="10"/>
      <c r="WPF63" s="10"/>
      <c r="WPG63" s="10"/>
      <c r="WPH63" s="10"/>
      <c r="WPI63" s="10"/>
      <c r="WPJ63" s="10"/>
      <c r="WPK63" s="10"/>
      <c r="WPL63" s="10"/>
      <c r="WPM63" s="10"/>
      <c r="WPN63" s="10"/>
      <c r="WPO63" s="10"/>
      <c r="WPP63" s="10"/>
      <c r="WPQ63" s="10"/>
      <c r="WPR63" s="10"/>
      <c r="WPS63" s="10"/>
      <c r="WPT63" s="10"/>
      <c r="WPU63" s="10"/>
      <c r="WPV63" s="10"/>
      <c r="WPW63" s="10"/>
      <c r="WPX63" s="10"/>
      <c r="WPY63" s="10"/>
      <c r="WPZ63" s="10"/>
      <c r="WQA63" s="10"/>
      <c r="WQB63" s="10"/>
      <c r="WQC63" s="10"/>
      <c r="WQD63" s="10"/>
      <c r="WQE63" s="10"/>
      <c r="WQF63" s="10"/>
      <c r="WQG63" s="10"/>
      <c r="WQH63" s="10"/>
      <c r="WQI63" s="10"/>
      <c r="WQJ63" s="10"/>
      <c r="WQK63" s="10"/>
      <c r="WQL63" s="10"/>
      <c r="WQM63" s="10"/>
      <c r="WQN63" s="10"/>
      <c r="WQO63" s="10"/>
      <c r="WQP63" s="10"/>
      <c r="WQQ63" s="10"/>
      <c r="WQR63" s="10"/>
      <c r="WQS63" s="10"/>
      <c r="WQT63" s="10"/>
      <c r="WQU63" s="10"/>
      <c r="WQV63" s="10"/>
      <c r="WQW63" s="10"/>
      <c r="WQX63" s="10"/>
      <c r="WQY63" s="10"/>
      <c r="WQZ63" s="10"/>
      <c r="WRA63" s="10"/>
      <c r="WRB63" s="10"/>
      <c r="WRC63" s="10"/>
      <c r="WRD63" s="10"/>
      <c r="WRE63" s="10"/>
      <c r="WRF63" s="10"/>
      <c r="WRG63" s="10"/>
      <c r="WRH63" s="10"/>
      <c r="WRI63" s="10"/>
      <c r="WRJ63" s="10"/>
      <c r="WRK63" s="10"/>
      <c r="WRL63" s="10"/>
      <c r="WRM63" s="10"/>
      <c r="WRN63" s="10"/>
      <c r="WRO63" s="10"/>
      <c r="WRP63" s="10"/>
      <c r="WRQ63" s="10"/>
      <c r="WRR63" s="10"/>
      <c r="WRS63" s="10"/>
      <c r="WRT63" s="10"/>
      <c r="WRU63" s="10"/>
      <c r="WRV63" s="10"/>
      <c r="WRW63" s="10"/>
      <c r="WRX63" s="10"/>
      <c r="WRY63" s="10"/>
      <c r="WRZ63" s="10"/>
      <c r="WSA63" s="10"/>
      <c r="WSB63" s="10"/>
      <c r="WSC63" s="10"/>
      <c r="WSD63" s="10"/>
      <c r="WSE63" s="10"/>
      <c r="WSF63" s="10"/>
      <c r="WSG63" s="10"/>
      <c r="WSH63" s="10"/>
      <c r="WSI63" s="10"/>
      <c r="WSJ63" s="10"/>
      <c r="WSK63" s="10"/>
      <c r="WSL63" s="10"/>
      <c r="WSM63" s="10"/>
      <c r="WSN63" s="10"/>
      <c r="WSO63" s="10"/>
      <c r="WSP63" s="10"/>
      <c r="WSQ63" s="10"/>
      <c r="WSR63" s="10"/>
      <c r="WSS63" s="10"/>
      <c r="WST63" s="10"/>
      <c r="WSU63" s="10"/>
      <c r="WSV63" s="10"/>
      <c r="WSW63" s="10"/>
      <c r="WSX63" s="10"/>
      <c r="WSY63" s="10"/>
      <c r="WSZ63" s="10"/>
      <c r="WTA63" s="10"/>
      <c r="WTB63" s="10"/>
      <c r="WTC63" s="10"/>
      <c r="WTD63" s="10"/>
      <c r="WTE63" s="10"/>
      <c r="WTF63" s="10"/>
      <c r="WTG63" s="10"/>
      <c r="WTH63" s="10"/>
      <c r="WTI63" s="10"/>
      <c r="WTJ63" s="10"/>
      <c r="WTK63" s="10"/>
      <c r="WTL63" s="10"/>
      <c r="WTM63" s="10"/>
      <c r="WTN63" s="10"/>
      <c r="WTO63" s="10"/>
      <c r="WTP63" s="10"/>
      <c r="WTQ63" s="10"/>
      <c r="WTR63" s="10"/>
      <c r="WTS63" s="10"/>
      <c r="WTT63" s="10"/>
      <c r="WTU63" s="10"/>
      <c r="WTV63" s="10"/>
      <c r="WTW63" s="10"/>
      <c r="WTX63" s="10"/>
      <c r="WTY63" s="10"/>
      <c r="WTZ63" s="10"/>
      <c r="WUA63" s="10"/>
      <c r="WUB63" s="10"/>
      <c r="WUC63" s="10"/>
      <c r="WUD63" s="10"/>
      <c r="WUE63" s="10"/>
      <c r="WUF63" s="10"/>
      <c r="WUG63" s="10"/>
      <c r="WUH63" s="10"/>
      <c r="WUI63" s="10"/>
      <c r="WUJ63" s="10"/>
      <c r="WUK63" s="10"/>
      <c r="WUL63" s="10"/>
      <c r="WUM63" s="10"/>
      <c r="WUN63" s="10"/>
      <c r="WUO63" s="10"/>
      <c r="WUP63" s="10"/>
      <c r="WUQ63" s="10"/>
      <c r="WUR63" s="10"/>
      <c r="WUS63" s="10"/>
      <c r="WUT63" s="10"/>
      <c r="WUU63" s="10"/>
      <c r="WUV63" s="10"/>
      <c r="WUW63" s="10"/>
      <c r="WUX63" s="10"/>
      <c r="WUY63" s="10"/>
      <c r="WUZ63" s="10"/>
      <c r="WVA63" s="10"/>
      <c r="WVB63" s="10"/>
      <c r="WVC63" s="10"/>
      <c r="WVD63" s="10"/>
      <c r="WVE63" s="10"/>
      <c r="WVF63" s="10"/>
      <c r="WVG63" s="10"/>
      <c r="WVH63" s="10"/>
      <c r="WVI63" s="10"/>
      <c r="WVJ63" s="10"/>
      <c r="WVK63" s="10"/>
      <c r="WVL63" s="10"/>
      <c r="WVM63" s="10"/>
      <c r="WVN63" s="10"/>
      <c r="WVO63" s="10"/>
      <c r="WVP63" s="10"/>
      <c r="WVQ63" s="10"/>
      <c r="WVR63" s="10"/>
      <c r="WVS63" s="10"/>
      <c r="WVT63" s="10"/>
      <c r="WVU63" s="10"/>
      <c r="WVV63" s="10"/>
      <c r="WVW63" s="10"/>
      <c r="WVX63" s="10"/>
      <c r="WVY63" s="10"/>
      <c r="WVZ63" s="10"/>
      <c r="WWA63" s="10"/>
      <c r="WWB63" s="10"/>
      <c r="WWC63" s="10"/>
      <c r="WWD63" s="10"/>
      <c r="WWE63" s="10"/>
      <c r="WWF63" s="10"/>
      <c r="WWG63" s="10"/>
      <c r="WWH63" s="10"/>
      <c r="WWI63" s="10"/>
      <c r="WWJ63" s="10"/>
      <c r="WWK63" s="10"/>
      <c r="WWL63" s="10"/>
      <c r="WWM63" s="10"/>
      <c r="WWN63" s="10"/>
      <c r="WWO63" s="10"/>
      <c r="WWP63" s="10"/>
      <c r="WWQ63" s="10"/>
      <c r="WWR63" s="10"/>
      <c r="WWS63" s="10"/>
      <c r="WWT63" s="10"/>
      <c r="WWU63" s="10"/>
      <c r="WWV63" s="10"/>
      <c r="WWW63" s="10"/>
      <c r="WWX63" s="10"/>
      <c r="WWY63" s="10"/>
      <c r="WWZ63" s="10"/>
      <c r="WXA63" s="10"/>
      <c r="WXB63" s="10"/>
      <c r="WXC63" s="10"/>
      <c r="WXD63" s="10"/>
      <c r="WXE63" s="10"/>
      <c r="WXF63" s="10"/>
      <c r="WXG63" s="10"/>
      <c r="WXH63" s="10"/>
      <c r="WXI63" s="10"/>
      <c r="WXJ63" s="10"/>
      <c r="WXK63" s="10"/>
      <c r="WXL63" s="10"/>
      <c r="WXM63" s="10"/>
      <c r="WXN63" s="10"/>
      <c r="WXO63" s="10"/>
      <c r="WXP63" s="10"/>
      <c r="WXQ63" s="10"/>
      <c r="WXR63" s="10"/>
      <c r="WXS63" s="10"/>
      <c r="WXT63" s="10"/>
      <c r="WXU63" s="10"/>
      <c r="WXV63" s="10"/>
      <c r="WXW63" s="10"/>
      <c r="WXX63" s="10"/>
      <c r="WXY63" s="10"/>
      <c r="WXZ63" s="10"/>
      <c r="WYA63" s="10"/>
      <c r="WYB63" s="10"/>
      <c r="WYC63" s="10"/>
      <c r="WYD63" s="10"/>
      <c r="WYE63" s="10"/>
      <c r="WYF63" s="10"/>
      <c r="WYG63" s="10"/>
      <c r="WYH63" s="10"/>
      <c r="WYI63" s="10"/>
      <c r="WYJ63" s="10"/>
      <c r="WYK63" s="10"/>
      <c r="WYL63" s="10"/>
      <c r="WYM63" s="10"/>
      <c r="WYN63" s="10"/>
      <c r="WYO63" s="10"/>
      <c r="WYP63" s="10"/>
      <c r="WYQ63" s="10"/>
      <c r="WYR63" s="10"/>
      <c r="WYS63" s="10"/>
      <c r="WYT63" s="10"/>
      <c r="WYU63" s="10"/>
      <c r="WYV63" s="10"/>
      <c r="WYW63" s="10"/>
      <c r="WYX63" s="10"/>
      <c r="WYY63" s="10"/>
      <c r="WYZ63" s="10"/>
      <c r="WZA63" s="10"/>
      <c r="WZB63" s="10"/>
      <c r="WZC63" s="10"/>
      <c r="WZD63" s="10"/>
      <c r="WZE63" s="10"/>
      <c r="WZF63" s="10"/>
      <c r="WZG63" s="10"/>
      <c r="WZH63" s="10"/>
      <c r="WZI63" s="10"/>
      <c r="WZJ63" s="10"/>
      <c r="WZK63" s="10"/>
      <c r="WZL63" s="10"/>
      <c r="WZM63" s="10"/>
      <c r="WZN63" s="10"/>
      <c r="WZO63" s="10"/>
      <c r="WZP63" s="10"/>
      <c r="WZQ63" s="10"/>
      <c r="WZR63" s="10"/>
      <c r="WZS63" s="10"/>
      <c r="WZT63" s="10"/>
      <c r="WZU63" s="10"/>
      <c r="WZV63" s="10"/>
      <c r="WZW63" s="10"/>
      <c r="WZX63" s="10"/>
      <c r="WZY63" s="10"/>
      <c r="WZZ63" s="10"/>
      <c r="XAA63" s="10"/>
      <c r="XAB63" s="10"/>
      <c r="XAC63" s="10"/>
      <c r="XAD63" s="10"/>
      <c r="XAE63" s="10"/>
      <c r="XAF63" s="10"/>
      <c r="XAG63" s="10"/>
      <c r="XAH63" s="10"/>
      <c r="XAI63" s="10"/>
      <c r="XAJ63" s="10"/>
      <c r="XAK63" s="10"/>
      <c r="XAL63" s="10"/>
      <c r="XAM63" s="10"/>
      <c r="XAN63" s="10"/>
      <c r="XAO63" s="10"/>
      <c r="XAP63" s="10"/>
      <c r="XAQ63" s="10"/>
      <c r="XAR63" s="10"/>
      <c r="XAS63" s="10"/>
      <c r="XAT63" s="10"/>
      <c r="XAU63" s="10"/>
      <c r="XAV63" s="10"/>
      <c r="XAW63" s="10"/>
      <c r="XAX63" s="10"/>
      <c r="XAY63" s="10"/>
      <c r="XAZ63" s="10"/>
      <c r="XBA63" s="10"/>
      <c r="XBB63" s="10"/>
      <c r="XBC63" s="10"/>
      <c r="XBD63" s="10"/>
      <c r="XBE63" s="10"/>
      <c r="XBF63" s="10"/>
      <c r="XBG63" s="10"/>
      <c r="XBH63" s="10"/>
      <c r="XBI63" s="10"/>
      <c r="XBJ63" s="10"/>
      <c r="XBK63" s="10"/>
      <c r="XBL63" s="10"/>
      <c r="XBM63" s="10"/>
      <c r="XBN63" s="10"/>
      <c r="XBO63" s="10"/>
      <c r="XBP63" s="10"/>
      <c r="XBQ63" s="10"/>
      <c r="XBR63" s="10"/>
      <c r="XBS63" s="10"/>
      <c r="XBT63" s="10"/>
      <c r="XBU63" s="10"/>
      <c r="XBV63" s="10"/>
      <c r="XBW63" s="10"/>
      <c r="XBX63" s="10"/>
      <c r="XBY63" s="10"/>
      <c r="XBZ63" s="10"/>
      <c r="XCA63" s="10"/>
      <c r="XCB63" s="10"/>
      <c r="XCC63" s="10"/>
      <c r="XCD63" s="10"/>
      <c r="XCE63" s="10"/>
      <c r="XCF63" s="10"/>
      <c r="XCG63" s="10"/>
      <c r="XCH63" s="10"/>
      <c r="XCI63" s="10"/>
      <c r="XCJ63" s="10"/>
      <c r="XCK63" s="10"/>
      <c r="XCL63" s="10"/>
      <c r="XCM63" s="10"/>
      <c r="XCN63" s="10"/>
      <c r="XCO63" s="10"/>
      <c r="XCP63" s="10"/>
    </row>
    <row r="64" spans="1:16318" x14ac:dyDescent="0.2">
      <c r="A64" s="9"/>
      <c r="B64" s="514"/>
      <c r="C64" s="514"/>
      <c r="D64" s="9"/>
      <c r="E64" s="9"/>
      <c r="F64" s="9"/>
      <c r="G64" s="506"/>
      <c r="H64" s="9"/>
      <c r="I64" s="507"/>
      <c r="J64" s="507"/>
      <c r="K64" s="508"/>
      <c r="L64" s="495"/>
      <c r="M64" s="509"/>
      <c r="N64" s="475"/>
      <c r="O64" s="475"/>
      <c r="P64" s="475"/>
      <c r="Q64" s="475"/>
      <c r="R64" s="475"/>
      <c r="S64" s="475"/>
      <c r="T64" s="475"/>
      <c r="U64" s="495"/>
      <c r="V64" s="495"/>
      <c r="W64" s="495"/>
      <c r="X64" s="475"/>
      <c r="Y64" s="475"/>
      <c r="Z64" s="495"/>
      <c r="AA64" s="495"/>
      <c r="AB64" s="495"/>
      <c r="AC64" s="475"/>
      <c r="AD64" s="475"/>
      <c r="AE64" s="475"/>
      <c r="AF64" s="475"/>
      <c r="AG64" s="495"/>
      <c r="AH64" s="495"/>
      <c r="AI64" s="475"/>
      <c r="AJ64" s="475"/>
    </row>
    <row r="65" spans="9:36" x14ac:dyDescent="0.2">
      <c r="I65" s="218"/>
      <c r="J65" s="218"/>
      <c r="K65" s="270"/>
      <c r="L65" s="240"/>
      <c r="N65" s="218"/>
      <c r="O65" s="218"/>
      <c r="P65" s="218"/>
      <c r="Q65" s="218"/>
      <c r="R65" s="218"/>
      <c r="S65" s="218"/>
      <c r="U65" s="240"/>
      <c r="V65" s="240"/>
      <c r="W65" s="240"/>
      <c r="X65" s="218"/>
      <c r="Y65" s="218"/>
      <c r="Z65" s="240"/>
      <c r="AA65" s="430"/>
      <c r="AB65" s="430"/>
      <c r="AC65" s="218"/>
      <c r="AD65" s="218"/>
      <c r="AE65" s="218"/>
      <c r="AF65" s="218"/>
      <c r="AG65" s="240"/>
      <c r="AH65" s="240"/>
      <c r="AI65" s="218"/>
      <c r="AJ65" s="218"/>
    </row>
  </sheetData>
  <sheetProtection formatCells="0" formatColumns="0" formatRows="0" insertColumns="0" insertRows="0" insertHyperlinks="0" deleteColumns="0" deleteRows="0"/>
  <autoFilter ref="A5:AJ56"/>
  <mergeCells count="9">
    <mergeCell ref="AH55:AI55"/>
    <mergeCell ref="B57:C57"/>
    <mergeCell ref="B63:C63"/>
    <mergeCell ref="F3:N3"/>
    <mergeCell ref="AC57:AF57"/>
    <mergeCell ref="AC63:AF63"/>
    <mergeCell ref="M57:O57"/>
    <mergeCell ref="M63:O63"/>
    <mergeCell ref="V63:Y63"/>
  </mergeCells>
  <printOptions horizontalCentered="1"/>
  <pageMargins left="0" right="0" top="0.39370078740157483" bottom="0" header="0" footer="0"/>
  <pageSetup paperSize="9" scale="54" fitToHeight="0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R75"/>
  <sheetViews>
    <sheetView workbookViewId="0">
      <pane xSplit="3" ySplit="4" topLeftCell="D27" activePane="bottomRight" state="frozen"/>
      <selection pane="topRight" activeCell="D1" sqref="D1"/>
      <selection pane="bottomLeft" activeCell="A5" sqref="A5"/>
      <selection pane="bottomRight" activeCell="J38" sqref="J38"/>
    </sheetView>
  </sheetViews>
  <sheetFormatPr defaultRowHeight="15" x14ac:dyDescent="0.25"/>
  <cols>
    <col min="1" max="1" width="3.42578125" customWidth="1"/>
    <col min="2" max="2" width="8.7109375" style="336" customWidth="1"/>
    <col min="3" max="3" width="34" bestFit="1" customWidth="1"/>
    <col min="4" max="4" width="11" customWidth="1"/>
    <col min="5" max="5" width="11.5703125" customWidth="1"/>
    <col min="6" max="6" width="11.7109375" customWidth="1"/>
    <col min="7" max="7" width="10.42578125" customWidth="1"/>
    <col min="8" max="8" width="11" style="30" customWidth="1"/>
    <col min="9" max="9" width="15.42578125" style="357" customWidth="1"/>
    <col min="10" max="11" width="12" style="30" customWidth="1"/>
    <col min="12" max="12" width="12" style="407" customWidth="1"/>
    <col min="13" max="13" width="12" style="329" customWidth="1"/>
    <col min="14" max="14" width="17.28515625" style="205" bestFit="1" customWidth="1"/>
    <col min="15" max="15" width="10.5703125" bestFit="1" customWidth="1"/>
    <col min="16" max="16" width="14.28515625" bestFit="1" customWidth="1"/>
    <col min="17" max="17" width="10.5703125" style="30" bestFit="1" customWidth="1"/>
    <col min="18" max="18" width="10.5703125" bestFit="1" customWidth="1"/>
  </cols>
  <sheetData>
    <row r="1" spans="1:18" x14ac:dyDescent="0.25">
      <c r="H1" s="30">
        <f>8*26</f>
        <v>208</v>
      </c>
      <c r="J1" s="217"/>
    </row>
    <row r="2" spans="1:18" x14ac:dyDescent="0.25">
      <c r="K2" s="156">
        <v>1</v>
      </c>
      <c r="N2" s="205">
        <f>778676/23</f>
        <v>33855.478260869568</v>
      </c>
      <c r="O2" s="790">
        <f>+I38+N2</f>
        <v>68392.369940618388</v>
      </c>
      <c r="P2">
        <f>1444500/32</f>
        <v>45140.625</v>
      </c>
      <c r="Q2" s="30">
        <f>+P2+I39</f>
        <v>80619.431907378341</v>
      </c>
    </row>
    <row r="3" spans="1:18" ht="38.25" x14ac:dyDescent="0.25">
      <c r="A3" s="4" t="s">
        <v>0</v>
      </c>
      <c r="B3" s="4" t="s">
        <v>241</v>
      </c>
      <c r="C3" s="4" t="s">
        <v>270</v>
      </c>
      <c r="D3" s="4" t="s">
        <v>503</v>
      </c>
      <c r="E3" s="4" t="s">
        <v>277</v>
      </c>
      <c r="F3" s="4" t="s">
        <v>278</v>
      </c>
      <c r="G3" s="4" t="s">
        <v>275</v>
      </c>
      <c r="H3" s="4" t="s">
        <v>276</v>
      </c>
      <c r="I3" s="358" t="s">
        <v>279</v>
      </c>
      <c r="J3" s="32"/>
      <c r="K3" s="32"/>
      <c r="L3" s="406" t="s">
        <v>697</v>
      </c>
      <c r="M3" s="364" t="s">
        <v>674</v>
      </c>
    </row>
    <row r="4" spans="1:18" s="36" customFormat="1" x14ac:dyDescent="0.25">
      <c r="A4" s="37" t="s">
        <v>5</v>
      </c>
      <c r="B4" s="337"/>
      <c r="C4" s="37" t="s">
        <v>242</v>
      </c>
      <c r="D4" s="37"/>
      <c r="E4" s="136">
        <f>20/60+7</f>
        <v>7.333333333333333</v>
      </c>
      <c r="F4" s="37"/>
      <c r="G4" s="37"/>
      <c r="H4" s="39"/>
      <c r="I4" s="359"/>
      <c r="J4" s="39"/>
      <c r="K4" s="39"/>
      <c r="L4" s="408"/>
      <c r="M4" s="365"/>
      <c r="N4" s="206"/>
      <c r="Q4" s="165"/>
    </row>
    <row r="5" spans="1:18" x14ac:dyDescent="0.25">
      <c r="A5" s="3">
        <v>1</v>
      </c>
      <c r="B5" s="28"/>
      <c r="C5" s="3" t="s">
        <v>339</v>
      </c>
      <c r="D5" s="3">
        <f>220</f>
        <v>220</v>
      </c>
      <c r="E5" s="22">
        <f t="shared" ref="E5:E19" si="0">D5*$E$4</f>
        <v>1613.3333333333333</v>
      </c>
      <c r="F5" s="22">
        <f>E5*26</f>
        <v>41946.666666666664</v>
      </c>
      <c r="G5" s="3">
        <v>2</v>
      </c>
      <c r="H5" s="22">
        <f>F5/G5</f>
        <v>20973.333333333332</v>
      </c>
      <c r="I5" s="360">
        <f>J5/H5*$K$2</f>
        <v>238.39796567069297</v>
      </c>
      <c r="J5" s="22">
        <f>L5-K5</f>
        <v>5000000</v>
      </c>
      <c r="K5" s="22"/>
      <c r="L5" s="409">
        <v>5000000</v>
      </c>
      <c r="M5" s="326">
        <v>4500000</v>
      </c>
      <c r="N5" s="206">
        <f>J5/H5</f>
        <v>238.39796567069297</v>
      </c>
      <c r="O5" s="30"/>
      <c r="P5" s="108"/>
      <c r="R5" s="108"/>
    </row>
    <row r="6" spans="1:18" x14ac:dyDescent="0.25">
      <c r="A6" s="3">
        <v>2</v>
      </c>
      <c r="B6" s="28"/>
      <c r="C6" s="3" t="s">
        <v>340</v>
      </c>
      <c r="D6" s="3">
        <v>180</v>
      </c>
      <c r="E6" s="22">
        <f t="shared" si="0"/>
        <v>1320</v>
      </c>
      <c r="F6" s="22">
        <f t="shared" ref="F6:F36" si="1">E6*26</f>
        <v>34320</v>
      </c>
      <c r="G6" s="3">
        <v>2</v>
      </c>
      <c r="H6" s="22">
        <f t="shared" ref="H6:H36" si="2">F6/G6</f>
        <v>17160</v>
      </c>
      <c r="I6" s="360">
        <f t="shared" ref="I6:I74" si="3">J6/H6*$K$2</f>
        <v>291.3752913752914</v>
      </c>
      <c r="J6" s="22">
        <f t="shared" ref="J6:J35" si="4">L6-K6</f>
        <v>5000000</v>
      </c>
      <c r="K6" s="22"/>
      <c r="L6" s="409">
        <v>5000000</v>
      </c>
      <c r="M6" s="326">
        <v>4500000</v>
      </c>
      <c r="N6" s="206">
        <f t="shared" ref="N6:N19" si="5">J6/H6</f>
        <v>291.3752913752914</v>
      </c>
      <c r="O6" s="30"/>
      <c r="P6" s="108"/>
      <c r="R6" s="108"/>
    </row>
    <row r="7" spans="1:18" x14ac:dyDescent="0.25">
      <c r="A7" s="3">
        <v>3</v>
      </c>
      <c r="B7" s="28"/>
      <c r="C7" s="3" t="s">
        <v>341</v>
      </c>
      <c r="D7" s="3">
        <v>110</v>
      </c>
      <c r="E7" s="22">
        <f t="shared" si="0"/>
        <v>806.66666666666663</v>
      </c>
      <c r="F7" s="22">
        <f t="shared" si="1"/>
        <v>20973.333333333332</v>
      </c>
      <c r="G7" s="3">
        <v>2</v>
      </c>
      <c r="H7" s="22">
        <f t="shared" si="2"/>
        <v>10486.666666666666</v>
      </c>
      <c r="I7" s="360">
        <f t="shared" si="3"/>
        <v>476.79593134138594</v>
      </c>
      <c r="J7" s="22">
        <f t="shared" si="4"/>
        <v>5000000</v>
      </c>
      <c r="K7" s="22"/>
      <c r="L7" s="409">
        <v>5000000</v>
      </c>
      <c r="M7" s="326">
        <v>4500000</v>
      </c>
      <c r="N7" s="206">
        <f t="shared" si="5"/>
        <v>476.79593134138594</v>
      </c>
      <c r="O7" s="30"/>
      <c r="P7" s="108"/>
      <c r="R7" s="108"/>
    </row>
    <row r="8" spans="1:18" x14ac:dyDescent="0.25">
      <c r="A8" s="3">
        <v>4</v>
      </c>
      <c r="B8" s="28"/>
      <c r="C8" s="3" t="s">
        <v>342</v>
      </c>
      <c r="D8" s="3">
        <v>180</v>
      </c>
      <c r="E8" s="22">
        <f t="shared" si="0"/>
        <v>1320</v>
      </c>
      <c r="F8" s="22">
        <f t="shared" si="1"/>
        <v>34320</v>
      </c>
      <c r="G8" s="3">
        <v>3</v>
      </c>
      <c r="H8" s="22">
        <f>F8/G8</f>
        <v>11440</v>
      </c>
      <c r="I8" s="360">
        <f t="shared" si="3"/>
        <v>437.06293706293707</v>
      </c>
      <c r="J8" s="22">
        <f>L8-K8</f>
        <v>5000000</v>
      </c>
      <c r="K8" s="22"/>
      <c r="L8" s="409">
        <v>5000000</v>
      </c>
      <c r="M8" s="326">
        <v>4500000</v>
      </c>
      <c r="N8" s="206">
        <f t="shared" si="5"/>
        <v>437.06293706293707</v>
      </c>
      <c r="O8" s="30"/>
      <c r="P8" s="108"/>
      <c r="R8" s="108"/>
    </row>
    <row r="9" spans="1:18" x14ac:dyDescent="0.25">
      <c r="A9" s="3">
        <v>5</v>
      </c>
      <c r="B9" s="28"/>
      <c r="C9" s="3" t="s">
        <v>343</v>
      </c>
      <c r="D9" s="3">
        <v>160</v>
      </c>
      <c r="E9" s="22">
        <f t="shared" si="0"/>
        <v>1173.3333333333333</v>
      </c>
      <c r="F9" s="22">
        <f t="shared" si="1"/>
        <v>30506.666666666664</v>
      </c>
      <c r="G9" s="3">
        <v>5</v>
      </c>
      <c r="H9" s="22">
        <f t="shared" si="2"/>
        <v>6101.333333333333</v>
      </c>
      <c r="I9" s="360">
        <f t="shared" si="3"/>
        <v>819.49300699300704</v>
      </c>
      <c r="J9" s="22">
        <f t="shared" si="4"/>
        <v>5000000</v>
      </c>
      <c r="K9" s="22"/>
      <c r="L9" s="409">
        <v>5000000</v>
      </c>
      <c r="M9" s="326">
        <v>4500000</v>
      </c>
      <c r="N9" s="206">
        <f t="shared" si="5"/>
        <v>819.49300699300704</v>
      </c>
      <c r="O9" s="30"/>
      <c r="P9" s="108"/>
      <c r="R9" s="108"/>
    </row>
    <row r="10" spans="1:18" x14ac:dyDescent="0.25">
      <c r="A10" s="3">
        <v>6</v>
      </c>
      <c r="B10" s="28"/>
      <c r="C10" s="3" t="s">
        <v>344</v>
      </c>
      <c r="D10" s="3">
        <v>160</v>
      </c>
      <c r="E10" s="22">
        <f t="shared" si="0"/>
        <v>1173.3333333333333</v>
      </c>
      <c r="F10" s="22">
        <f t="shared" si="1"/>
        <v>30506.666666666664</v>
      </c>
      <c r="G10" s="3">
        <v>5</v>
      </c>
      <c r="H10" s="22">
        <f t="shared" si="2"/>
        <v>6101.333333333333</v>
      </c>
      <c r="I10" s="360">
        <f t="shared" si="3"/>
        <v>819.49300699300704</v>
      </c>
      <c r="J10" s="22">
        <f t="shared" si="4"/>
        <v>5000000</v>
      </c>
      <c r="K10" s="22"/>
      <c r="L10" s="409">
        <v>5000000</v>
      </c>
      <c r="M10" s="326">
        <v>4500000</v>
      </c>
      <c r="N10" s="206">
        <f t="shared" si="5"/>
        <v>819.49300699300704</v>
      </c>
      <c r="O10" s="30"/>
      <c r="P10" s="108"/>
      <c r="R10" s="108"/>
    </row>
    <row r="11" spans="1:18" x14ac:dyDescent="0.25">
      <c r="A11" s="3">
        <v>7</v>
      </c>
      <c r="B11" s="28"/>
      <c r="C11" s="3" t="s">
        <v>345</v>
      </c>
      <c r="D11" s="3">
        <v>90</v>
      </c>
      <c r="E11" s="22">
        <f t="shared" si="0"/>
        <v>660</v>
      </c>
      <c r="F11" s="22">
        <f t="shared" si="1"/>
        <v>17160</v>
      </c>
      <c r="G11" s="3">
        <v>5</v>
      </c>
      <c r="H11" s="22">
        <f t="shared" si="2"/>
        <v>3432</v>
      </c>
      <c r="I11" s="360">
        <f t="shared" si="3"/>
        <v>1456.8764568764568</v>
      </c>
      <c r="J11" s="22">
        <f t="shared" si="4"/>
        <v>5000000</v>
      </c>
      <c r="K11" s="22"/>
      <c r="L11" s="409">
        <v>5000000</v>
      </c>
      <c r="M11" s="326">
        <v>4500000</v>
      </c>
      <c r="N11" s="206">
        <f t="shared" si="5"/>
        <v>1456.8764568764568</v>
      </c>
      <c r="O11" s="30"/>
      <c r="P11" s="108"/>
      <c r="R11" s="108"/>
    </row>
    <row r="12" spans="1:18" x14ac:dyDescent="0.25">
      <c r="A12" s="3">
        <v>8</v>
      </c>
      <c r="B12" s="28"/>
      <c r="C12" s="3" t="s">
        <v>346</v>
      </c>
      <c r="D12" s="3">
        <v>230</v>
      </c>
      <c r="E12" s="22">
        <f t="shared" si="0"/>
        <v>1686.6666666666665</v>
      </c>
      <c r="F12" s="22">
        <f t="shared" si="1"/>
        <v>43853.333333333328</v>
      </c>
      <c r="G12" s="3">
        <v>2</v>
      </c>
      <c r="H12" s="22">
        <f t="shared" si="2"/>
        <v>21926.666666666664</v>
      </c>
      <c r="I12" s="360">
        <f t="shared" si="3"/>
        <v>228.03283672848892</v>
      </c>
      <c r="J12" s="22">
        <f t="shared" si="4"/>
        <v>5000000</v>
      </c>
      <c r="K12" s="22"/>
      <c r="L12" s="409">
        <v>5000000</v>
      </c>
      <c r="M12" s="326">
        <v>4500000</v>
      </c>
      <c r="N12" s="206">
        <f t="shared" si="5"/>
        <v>228.03283672848892</v>
      </c>
      <c r="O12" s="30"/>
      <c r="P12" s="108"/>
      <c r="R12" s="108"/>
    </row>
    <row r="13" spans="1:18" x14ac:dyDescent="0.25">
      <c r="A13" s="3">
        <v>9</v>
      </c>
      <c r="B13" s="28"/>
      <c r="C13" s="3" t="s">
        <v>347</v>
      </c>
      <c r="D13" s="3">
        <v>250</v>
      </c>
      <c r="E13" s="22">
        <f t="shared" si="0"/>
        <v>1833.3333333333333</v>
      </c>
      <c r="F13" s="22">
        <f t="shared" si="1"/>
        <v>47666.666666666664</v>
      </c>
      <c r="G13" s="3">
        <v>2</v>
      </c>
      <c r="H13" s="22">
        <f t="shared" si="2"/>
        <v>23833.333333333332</v>
      </c>
      <c r="I13" s="360">
        <f t="shared" si="3"/>
        <v>209.79020979020981</v>
      </c>
      <c r="J13" s="22">
        <f t="shared" si="4"/>
        <v>5000000</v>
      </c>
      <c r="K13" s="22"/>
      <c r="L13" s="409">
        <v>5000000</v>
      </c>
      <c r="M13" s="326">
        <v>4500000</v>
      </c>
      <c r="N13" s="206">
        <f t="shared" si="5"/>
        <v>209.79020979020981</v>
      </c>
      <c r="O13" s="30"/>
      <c r="P13" s="108"/>
      <c r="R13" s="108"/>
    </row>
    <row r="14" spans="1:18" x14ac:dyDescent="0.25">
      <c r="A14" s="3">
        <v>10</v>
      </c>
      <c r="B14" s="28"/>
      <c r="C14" s="3" t="s">
        <v>348</v>
      </c>
      <c r="D14" s="3">
        <v>200</v>
      </c>
      <c r="E14" s="22">
        <f t="shared" si="0"/>
        <v>1466.6666666666665</v>
      </c>
      <c r="F14" s="22">
        <f t="shared" si="1"/>
        <v>38133.333333333328</v>
      </c>
      <c r="G14" s="3">
        <v>2</v>
      </c>
      <c r="H14" s="22">
        <f t="shared" si="2"/>
        <v>19066.666666666664</v>
      </c>
      <c r="I14" s="360">
        <f t="shared" si="3"/>
        <v>262.2377622377623</v>
      </c>
      <c r="J14" s="22">
        <f t="shared" si="4"/>
        <v>5000000</v>
      </c>
      <c r="K14" s="22"/>
      <c r="L14" s="409">
        <v>5000000</v>
      </c>
      <c r="M14" s="326">
        <v>4500000</v>
      </c>
      <c r="N14" s="206">
        <f t="shared" si="5"/>
        <v>262.2377622377623</v>
      </c>
      <c r="O14" s="30"/>
      <c r="P14" s="108"/>
      <c r="R14" s="108"/>
    </row>
    <row r="15" spans="1:18" x14ac:dyDescent="0.25">
      <c r="A15" s="3">
        <v>11</v>
      </c>
      <c r="B15" s="28"/>
      <c r="C15" s="3" t="s">
        <v>349</v>
      </c>
      <c r="D15" s="3">
        <v>230</v>
      </c>
      <c r="E15" s="22">
        <f t="shared" si="0"/>
        <v>1686.6666666666665</v>
      </c>
      <c r="F15" s="22">
        <f t="shared" si="1"/>
        <v>43853.333333333328</v>
      </c>
      <c r="G15" s="3">
        <v>2</v>
      </c>
      <c r="H15" s="22">
        <f t="shared" si="2"/>
        <v>21926.666666666664</v>
      </c>
      <c r="I15" s="360">
        <f t="shared" si="3"/>
        <v>228.03283672848892</v>
      </c>
      <c r="J15" s="22">
        <f t="shared" si="4"/>
        <v>5000000</v>
      </c>
      <c r="K15" s="22"/>
      <c r="L15" s="409">
        <v>5000000</v>
      </c>
      <c r="M15" s="326">
        <v>4500000</v>
      </c>
      <c r="N15" s="206">
        <f t="shared" si="5"/>
        <v>228.03283672848892</v>
      </c>
      <c r="O15" s="30"/>
      <c r="P15" s="108"/>
      <c r="R15" s="108"/>
    </row>
    <row r="16" spans="1:18" x14ac:dyDescent="0.25">
      <c r="A16" s="3">
        <v>12</v>
      </c>
      <c r="B16" s="28"/>
      <c r="C16" s="3" t="s">
        <v>350</v>
      </c>
      <c r="D16" s="3">
        <v>140</v>
      </c>
      <c r="E16" s="22">
        <f t="shared" si="0"/>
        <v>1026.6666666666665</v>
      </c>
      <c r="F16" s="22">
        <f t="shared" si="1"/>
        <v>26693.333333333328</v>
      </c>
      <c r="G16" s="3">
        <v>5</v>
      </c>
      <c r="H16" s="22">
        <f t="shared" si="2"/>
        <v>5338.6666666666661</v>
      </c>
      <c r="I16" s="360">
        <f t="shared" si="3"/>
        <v>936.56343656343665</v>
      </c>
      <c r="J16" s="22">
        <f t="shared" si="4"/>
        <v>5000000</v>
      </c>
      <c r="K16" s="22"/>
      <c r="L16" s="409">
        <v>5000000</v>
      </c>
      <c r="M16" s="326">
        <v>4500000</v>
      </c>
      <c r="N16" s="206">
        <f t="shared" si="5"/>
        <v>936.56343656343665</v>
      </c>
      <c r="O16" s="30"/>
      <c r="P16" s="108"/>
      <c r="R16" s="108"/>
    </row>
    <row r="17" spans="1:18" x14ac:dyDescent="0.25">
      <c r="A17" s="3">
        <v>13</v>
      </c>
      <c r="B17" s="28"/>
      <c r="C17" s="3" t="s">
        <v>351</v>
      </c>
      <c r="D17" s="3">
        <v>115</v>
      </c>
      <c r="E17" s="22">
        <f t="shared" si="0"/>
        <v>843.33333333333326</v>
      </c>
      <c r="F17" s="22">
        <f t="shared" si="1"/>
        <v>21926.666666666664</v>
      </c>
      <c r="G17" s="3">
        <v>7</v>
      </c>
      <c r="H17" s="22">
        <f t="shared" si="2"/>
        <v>3132.3809523809518</v>
      </c>
      <c r="I17" s="360">
        <f t="shared" si="3"/>
        <v>1596.2298570994226</v>
      </c>
      <c r="J17" s="22">
        <f t="shared" si="4"/>
        <v>5000000</v>
      </c>
      <c r="K17" s="22"/>
      <c r="L17" s="409">
        <v>5000000</v>
      </c>
      <c r="M17" s="326">
        <v>4500000</v>
      </c>
      <c r="N17" s="206">
        <f t="shared" si="5"/>
        <v>1596.2298570994226</v>
      </c>
      <c r="O17" s="30"/>
      <c r="P17" s="108"/>
      <c r="R17" s="108"/>
    </row>
    <row r="18" spans="1:18" x14ac:dyDescent="0.25">
      <c r="A18" s="3">
        <v>14</v>
      </c>
      <c r="B18" s="28"/>
      <c r="C18" s="3" t="s">
        <v>352</v>
      </c>
      <c r="D18" s="3">
        <v>100</v>
      </c>
      <c r="E18" s="22">
        <f t="shared" si="0"/>
        <v>733.33333333333326</v>
      </c>
      <c r="F18" s="22">
        <f t="shared" si="1"/>
        <v>19066.666666666664</v>
      </c>
      <c r="G18" s="3">
        <v>7</v>
      </c>
      <c r="H18" s="22">
        <f t="shared" si="2"/>
        <v>2723.8095238095234</v>
      </c>
      <c r="I18" s="360">
        <f t="shared" si="3"/>
        <v>1835.664335664336</v>
      </c>
      <c r="J18" s="22">
        <f t="shared" si="4"/>
        <v>5000000</v>
      </c>
      <c r="K18" s="22"/>
      <c r="L18" s="409">
        <v>5000000</v>
      </c>
      <c r="M18" s="326">
        <v>4500000</v>
      </c>
      <c r="N18" s="206">
        <f t="shared" si="5"/>
        <v>1835.664335664336</v>
      </c>
      <c r="O18" s="30"/>
      <c r="P18" s="108"/>
      <c r="R18" s="108"/>
    </row>
    <row r="19" spans="1:18" x14ac:dyDescent="0.25">
      <c r="A19" s="3">
        <v>15</v>
      </c>
      <c r="B19" s="28"/>
      <c r="C19" s="3" t="s">
        <v>353</v>
      </c>
      <c r="D19" s="3">
        <v>90</v>
      </c>
      <c r="E19" s="22">
        <f t="shared" si="0"/>
        <v>660</v>
      </c>
      <c r="F19" s="22">
        <f t="shared" si="1"/>
        <v>17160</v>
      </c>
      <c r="G19" s="3">
        <v>7</v>
      </c>
      <c r="H19" s="22">
        <f t="shared" si="2"/>
        <v>2451.4285714285716</v>
      </c>
      <c r="I19" s="360">
        <f t="shared" si="3"/>
        <v>2039.6270396270395</v>
      </c>
      <c r="J19" s="22">
        <f t="shared" si="4"/>
        <v>5000000</v>
      </c>
      <c r="K19" s="22"/>
      <c r="L19" s="409">
        <v>5000000</v>
      </c>
      <c r="M19" s="326">
        <v>4500000</v>
      </c>
      <c r="N19" s="206">
        <f t="shared" si="5"/>
        <v>2039.6270396270395</v>
      </c>
      <c r="O19" s="30"/>
      <c r="P19" s="108"/>
      <c r="R19" s="108"/>
    </row>
    <row r="20" spans="1:18" s="36" customFormat="1" x14ac:dyDescent="0.25">
      <c r="A20" s="37" t="s">
        <v>6</v>
      </c>
      <c r="B20" s="337"/>
      <c r="C20" s="37" t="s">
        <v>243</v>
      </c>
      <c r="D20" s="37"/>
      <c r="E20" s="37">
        <v>6.5</v>
      </c>
      <c r="F20" s="37"/>
      <c r="G20" s="37"/>
      <c r="H20" s="39"/>
      <c r="I20" s="360"/>
      <c r="J20" s="39"/>
      <c r="K20" s="39"/>
      <c r="L20" s="408"/>
      <c r="M20" s="365"/>
      <c r="N20" s="206"/>
      <c r="Q20" s="165"/>
    </row>
    <row r="21" spans="1:18" x14ac:dyDescent="0.25">
      <c r="A21" s="3">
        <v>1</v>
      </c>
      <c r="B21" s="28"/>
      <c r="C21" s="3" t="s">
        <v>323</v>
      </c>
      <c r="D21" s="3">
        <f>260*30</f>
        <v>7800</v>
      </c>
      <c r="E21" s="22">
        <f t="shared" ref="E21:E29" si="6">D21*$E$20</f>
        <v>50700</v>
      </c>
      <c r="F21" s="22">
        <f t="shared" si="1"/>
        <v>1318200</v>
      </c>
      <c r="G21" s="3">
        <v>5</v>
      </c>
      <c r="H21" s="22">
        <f>F21/G21</f>
        <v>263640</v>
      </c>
      <c r="I21" s="360">
        <f t="shared" si="3"/>
        <v>18.965255651646185</v>
      </c>
      <c r="J21" s="22">
        <f t="shared" si="4"/>
        <v>5000000</v>
      </c>
      <c r="K21" s="22"/>
      <c r="L21" s="409">
        <v>5000000</v>
      </c>
      <c r="M21" s="326">
        <v>4500000</v>
      </c>
      <c r="N21" s="206">
        <f>J21/H21</f>
        <v>18.965255651646185</v>
      </c>
      <c r="O21" s="108"/>
    </row>
    <row r="22" spans="1:18" x14ac:dyDescent="0.25">
      <c r="A22" s="3">
        <v>2</v>
      </c>
      <c r="B22" s="28"/>
      <c r="C22" s="3" t="s">
        <v>324</v>
      </c>
      <c r="D22" s="3">
        <f>260*20</f>
        <v>5200</v>
      </c>
      <c r="E22" s="22">
        <f t="shared" si="6"/>
        <v>33800</v>
      </c>
      <c r="F22" s="22">
        <f t="shared" si="1"/>
        <v>878800</v>
      </c>
      <c r="G22" s="3">
        <v>5</v>
      </c>
      <c r="H22" s="22">
        <f t="shared" si="2"/>
        <v>175760</v>
      </c>
      <c r="I22" s="360">
        <f t="shared" si="3"/>
        <v>28.447883477469276</v>
      </c>
      <c r="J22" s="22">
        <f t="shared" si="4"/>
        <v>5000000</v>
      </c>
      <c r="K22" s="22"/>
      <c r="L22" s="409">
        <v>5000000</v>
      </c>
      <c r="M22" s="326">
        <v>4500000</v>
      </c>
      <c r="N22" s="206">
        <f t="shared" ref="N22:N74" si="7">J22/H22</f>
        <v>28.447883477469276</v>
      </c>
    </row>
    <row r="23" spans="1:18" x14ac:dyDescent="0.25">
      <c r="A23" s="3">
        <v>3</v>
      </c>
      <c r="B23" s="28"/>
      <c r="C23" s="3" t="s">
        <v>325</v>
      </c>
      <c r="D23" s="3">
        <f>260*10</f>
        <v>2600</v>
      </c>
      <c r="E23" s="22">
        <f t="shared" si="6"/>
        <v>16900</v>
      </c>
      <c r="F23" s="22">
        <f t="shared" si="1"/>
        <v>439400</v>
      </c>
      <c r="G23" s="3">
        <v>5</v>
      </c>
      <c r="H23" s="22">
        <f t="shared" si="2"/>
        <v>87880</v>
      </c>
      <c r="I23" s="360">
        <f t="shared" si="3"/>
        <v>56.895766954938551</v>
      </c>
      <c r="J23" s="22">
        <f t="shared" si="4"/>
        <v>5000000</v>
      </c>
      <c r="K23" s="22"/>
      <c r="L23" s="409">
        <v>5000000</v>
      </c>
      <c r="M23" s="326">
        <v>4500000</v>
      </c>
      <c r="N23" s="206">
        <f t="shared" si="7"/>
        <v>56.895766954938551</v>
      </c>
    </row>
    <row r="24" spans="1:18" x14ac:dyDescent="0.25">
      <c r="A24" s="3">
        <v>4</v>
      </c>
      <c r="B24" s="28"/>
      <c r="C24" s="3" t="s">
        <v>326</v>
      </c>
      <c r="D24" s="3">
        <v>1200</v>
      </c>
      <c r="E24" s="22">
        <f t="shared" si="6"/>
        <v>7800</v>
      </c>
      <c r="F24" s="22">
        <f t="shared" si="1"/>
        <v>202800</v>
      </c>
      <c r="G24" s="3">
        <v>5</v>
      </c>
      <c r="H24" s="22">
        <f t="shared" si="2"/>
        <v>40560</v>
      </c>
      <c r="I24" s="360">
        <f t="shared" si="3"/>
        <v>123.2741617357002</v>
      </c>
      <c r="J24" s="22">
        <f t="shared" si="4"/>
        <v>5000000</v>
      </c>
      <c r="K24" s="22"/>
      <c r="L24" s="409">
        <v>5000000</v>
      </c>
      <c r="M24" s="326">
        <v>4500000</v>
      </c>
      <c r="N24" s="206">
        <f t="shared" si="7"/>
        <v>123.2741617357002</v>
      </c>
    </row>
    <row r="25" spans="1:18" x14ac:dyDescent="0.25">
      <c r="A25" s="3">
        <v>5</v>
      </c>
      <c r="B25" s="28"/>
      <c r="C25" s="3" t="s">
        <v>327</v>
      </c>
      <c r="D25" s="3">
        <f>440</f>
        <v>440</v>
      </c>
      <c r="E25" s="22">
        <f t="shared" si="6"/>
        <v>2860</v>
      </c>
      <c r="F25" s="22">
        <f t="shared" si="1"/>
        <v>74360</v>
      </c>
      <c r="G25" s="3">
        <v>5</v>
      </c>
      <c r="H25" s="22">
        <f>F25/G25</f>
        <v>14872</v>
      </c>
      <c r="I25" s="360">
        <f t="shared" si="3"/>
        <v>336.20225927918233</v>
      </c>
      <c r="J25" s="22">
        <f t="shared" si="4"/>
        <v>5000000</v>
      </c>
      <c r="K25" s="22"/>
      <c r="L25" s="409">
        <v>5000000</v>
      </c>
      <c r="M25" s="326">
        <v>4500000</v>
      </c>
      <c r="N25" s="206">
        <f t="shared" si="7"/>
        <v>336.20225927918233</v>
      </c>
    </row>
    <row r="26" spans="1:18" x14ac:dyDescent="0.25">
      <c r="A26" s="3">
        <v>6</v>
      </c>
      <c r="B26" s="28"/>
      <c r="C26" s="3" t="s">
        <v>328</v>
      </c>
      <c r="D26" s="3">
        <f>440</f>
        <v>440</v>
      </c>
      <c r="E26" s="22">
        <f t="shared" si="6"/>
        <v>2860</v>
      </c>
      <c r="F26" s="22">
        <f t="shared" si="1"/>
        <v>74360</v>
      </c>
      <c r="G26" s="3">
        <v>5</v>
      </c>
      <c r="H26" s="22">
        <f t="shared" si="2"/>
        <v>14872</v>
      </c>
      <c r="I26" s="360">
        <f t="shared" si="3"/>
        <v>336.20225927918233</v>
      </c>
      <c r="J26" s="22">
        <f t="shared" si="4"/>
        <v>5000000</v>
      </c>
      <c r="K26" s="22"/>
      <c r="L26" s="409">
        <v>5000000</v>
      </c>
      <c r="M26" s="326">
        <v>4500000</v>
      </c>
      <c r="N26" s="206">
        <f t="shared" si="7"/>
        <v>336.20225927918233</v>
      </c>
    </row>
    <row r="27" spans="1:18" x14ac:dyDescent="0.25">
      <c r="A27" s="3">
        <v>7</v>
      </c>
      <c r="B27" s="28"/>
      <c r="C27" s="3" t="s">
        <v>329</v>
      </c>
      <c r="D27" s="3">
        <v>250</v>
      </c>
      <c r="E27" s="22">
        <f t="shared" si="6"/>
        <v>1625</v>
      </c>
      <c r="F27" s="22">
        <f t="shared" si="1"/>
        <v>42250</v>
      </c>
      <c r="G27" s="3">
        <v>6</v>
      </c>
      <c r="H27" s="22">
        <f t="shared" si="2"/>
        <v>7041.666666666667</v>
      </c>
      <c r="I27" s="360">
        <f t="shared" si="3"/>
        <v>710.05917159763305</v>
      </c>
      <c r="J27" s="22">
        <f t="shared" si="4"/>
        <v>5000000</v>
      </c>
      <c r="K27" s="22"/>
      <c r="L27" s="409">
        <v>5000000</v>
      </c>
      <c r="M27" s="326">
        <v>4500000</v>
      </c>
      <c r="N27" s="206">
        <f t="shared" si="7"/>
        <v>710.05917159763305</v>
      </c>
    </row>
    <row r="28" spans="1:18" x14ac:dyDescent="0.25">
      <c r="A28" s="3">
        <v>8</v>
      </c>
      <c r="B28" s="28"/>
      <c r="C28" s="3" t="s">
        <v>330</v>
      </c>
      <c r="D28" s="3">
        <f>97.5*80</f>
        <v>7800</v>
      </c>
      <c r="E28" s="22">
        <f t="shared" si="6"/>
        <v>50700</v>
      </c>
      <c r="F28" s="22">
        <f t="shared" si="1"/>
        <v>1318200</v>
      </c>
      <c r="G28" s="3">
        <v>5</v>
      </c>
      <c r="H28" s="22">
        <f>F28/G28</f>
        <v>263640</v>
      </c>
      <c r="I28" s="360">
        <f t="shared" si="3"/>
        <v>18.965255651646185</v>
      </c>
      <c r="J28" s="22">
        <f t="shared" si="4"/>
        <v>5000000</v>
      </c>
      <c r="K28" s="22"/>
      <c r="L28" s="409">
        <v>5000000</v>
      </c>
      <c r="M28" s="326">
        <v>4500000</v>
      </c>
      <c r="N28" s="206">
        <f t="shared" si="7"/>
        <v>18.965255651646185</v>
      </c>
    </row>
    <row r="29" spans="1:18" x14ac:dyDescent="0.25">
      <c r="A29" s="3">
        <v>9</v>
      </c>
      <c r="B29" s="28"/>
      <c r="C29" s="3" t="s">
        <v>331</v>
      </c>
      <c r="D29" s="3">
        <f>156*50</f>
        <v>7800</v>
      </c>
      <c r="E29" s="22">
        <f t="shared" si="6"/>
        <v>50700</v>
      </c>
      <c r="F29" s="22">
        <f t="shared" si="1"/>
        <v>1318200</v>
      </c>
      <c r="G29" s="3">
        <v>5</v>
      </c>
      <c r="H29" s="22">
        <f>F29/G29</f>
        <v>263640</v>
      </c>
      <c r="I29" s="360">
        <f t="shared" si="3"/>
        <v>18.965255651646185</v>
      </c>
      <c r="J29" s="22">
        <f t="shared" si="4"/>
        <v>5000000</v>
      </c>
      <c r="K29" s="22"/>
      <c r="L29" s="409">
        <v>5000000</v>
      </c>
      <c r="M29" s="326">
        <v>4500000</v>
      </c>
      <c r="N29" s="206">
        <f t="shared" si="7"/>
        <v>18.965255651646185</v>
      </c>
    </row>
    <row r="30" spans="1:18" x14ac:dyDescent="0.25">
      <c r="A30" s="3">
        <v>10</v>
      </c>
      <c r="B30" s="28"/>
      <c r="C30" s="3" t="s">
        <v>332</v>
      </c>
      <c r="D30" s="3">
        <f>156*25</f>
        <v>3900</v>
      </c>
      <c r="E30" s="22">
        <f t="shared" ref="E30:E35" si="8">D30*$E$20</f>
        <v>25350</v>
      </c>
      <c r="F30" s="22">
        <f t="shared" si="1"/>
        <v>659100</v>
      </c>
      <c r="G30" s="3">
        <v>5</v>
      </c>
      <c r="H30" s="22">
        <f>F30/G30</f>
        <v>131820</v>
      </c>
      <c r="I30" s="360">
        <f t="shared" si="3"/>
        <v>37.93051130329237</v>
      </c>
      <c r="J30" s="22">
        <f t="shared" si="4"/>
        <v>5000000</v>
      </c>
      <c r="K30" s="22"/>
      <c r="L30" s="409">
        <v>5000000</v>
      </c>
      <c r="M30" s="326">
        <v>4500000</v>
      </c>
      <c r="N30" s="206">
        <f t="shared" si="7"/>
        <v>37.93051130329237</v>
      </c>
    </row>
    <row r="31" spans="1:18" x14ac:dyDescent="0.25">
      <c r="A31" s="3">
        <v>11</v>
      </c>
      <c r="B31" s="28"/>
      <c r="C31" s="3" t="s">
        <v>333</v>
      </c>
      <c r="D31" s="3">
        <f>260*10</f>
        <v>2600</v>
      </c>
      <c r="E31" s="22">
        <f t="shared" si="8"/>
        <v>16900</v>
      </c>
      <c r="F31" s="22">
        <f t="shared" si="1"/>
        <v>439400</v>
      </c>
      <c r="G31" s="3">
        <v>5</v>
      </c>
      <c r="H31" s="22">
        <f>F31/G31</f>
        <v>87880</v>
      </c>
      <c r="I31" s="360">
        <f t="shared" si="3"/>
        <v>56.895766954938551</v>
      </c>
      <c r="J31" s="22">
        <f t="shared" si="4"/>
        <v>5000000</v>
      </c>
      <c r="K31" s="22"/>
      <c r="L31" s="409">
        <v>5000000</v>
      </c>
      <c r="M31" s="326">
        <v>4500000</v>
      </c>
      <c r="N31" s="206">
        <f t="shared" si="7"/>
        <v>56.895766954938551</v>
      </c>
    </row>
    <row r="32" spans="1:18" x14ac:dyDescent="0.25">
      <c r="A32" s="3">
        <v>12</v>
      </c>
      <c r="B32" s="28"/>
      <c r="C32" s="3" t="s">
        <v>334</v>
      </c>
      <c r="D32" s="3">
        <v>300</v>
      </c>
      <c r="E32" s="22">
        <f t="shared" si="8"/>
        <v>1950</v>
      </c>
      <c r="F32" s="22">
        <f t="shared" si="1"/>
        <v>50700</v>
      </c>
      <c r="G32" s="3">
        <v>5</v>
      </c>
      <c r="H32" s="22">
        <f t="shared" si="2"/>
        <v>10140</v>
      </c>
      <c r="I32" s="360">
        <f t="shared" si="3"/>
        <v>493.09664694280082</v>
      </c>
      <c r="J32" s="22">
        <f t="shared" si="4"/>
        <v>5000000</v>
      </c>
      <c r="K32" s="22"/>
      <c r="L32" s="409">
        <v>5000000</v>
      </c>
      <c r="M32" s="326">
        <v>4500000</v>
      </c>
      <c r="N32" s="206">
        <f t="shared" si="7"/>
        <v>493.09664694280082</v>
      </c>
    </row>
    <row r="33" spans="1:18" x14ac:dyDescent="0.25">
      <c r="A33" s="3">
        <v>13</v>
      </c>
      <c r="B33" s="28"/>
      <c r="C33" s="3" t="s">
        <v>335</v>
      </c>
      <c r="D33" s="3">
        <v>250</v>
      </c>
      <c r="E33" s="22">
        <f t="shared" si="8"/>
        <v>1625</v>
      </c>
      <c r="F33" s="22">
        <f t="shared" si="1"/>
        <v>42250</v>
      </c>
      <c r="G33" s="3">
        <v>5</v>
      </c>
      <c r="H33" s="22">
        <f t="shared" si="2"/>
        <v>8450</v>
      </c>
      <c r="I33" s="360">
        <f t="shared" si="3"/>
        <v>591.71597633136093</v>
      </c>
      <c r="J33" s="22">
        <f t="shared" si="4"/>
        <v>5000000</v>
      </c>
      <c r="K33" s="22"/>
      <c r="L33" s="409">
        <v>5000000</v>
      </c>
      <c r="M33" s="326">
        <v>4500000</v>
      </c>
      <c r="N33" s="206">
        <f t="shared" si="7"/>
        <v>591.71597633136093</v>
      </c>
    </row>
    <row r="34" spans="1:18" x14ac:dyDescent="0.25">
      <c r="A34" s="3">
        <v>14</v>
      </c>
      <c r="B34" s="28"/>
      <c r="C34" s="3" t="s">
        <v>336</v>
      </c>
      <c r="D34" s="3">
        <v>250</v>
      </c>
      <c r="E34" s="22">
        <f t="shared" si="8"/>
        <v>1625</v>
      </c>
      <c r="F34" s="22">
        <f t="shared" si="1"/>
        <v>42250</v>
      </c>
      <c r="G34" s="3">
        <v>6</v>
      </c>
      <c r="H34" s="22">
        <f t="shared" si="2"/>
        <v>7041.666666666667</v>
      </c>
      <c r="I34" s="360">
        <f t="shared" si="3"/>
        <v>710.05917159763305</v>
      </c>
      <c r="J34" s="22">
        <f t="shared" si="4"/>
        <v>5000000</v>
      </c>
      <c r="K34" s="22"/>
      <c r="L34" s="409">
        <v>5000000</v>
      </c>
      <c r="M34" s="326">
        <v>4500000</v>
      </c>
      <c r="N34" s="206">
        <f t="shared" si="7"/>
        <v>710.05917159763305</v>
      </c>
    </row>
    <row r="35" spans="1:18" x14ac:dyDescent="0.25">
      <c r="A35" s="3">
        <v>15</v>
      </c>
      <c r="B35" s="28"/>
      <c r="C35" s="3" t="s">
        <v>337</v>
      </c>
      <c r="D35" s="3">
        <v>250</v>
      </c>
      <c r="E35" s="22">
        <f t="shared" si="8"/>
        <v>1625</v>
      </c>
      <c r="F35" s="22">
        <f t="shared" si="1"/>
        <v>42250</v>
      </c>
      <c r="G35" s="3">
        <v>6</v>
      </c>
      <c r="H35" s="22">
        <f t="shared" si="2"/>
        <v>7041.666666666667</v>
      </c>
      <c r="I35" s="360">
        <f t="shared" si="3"/>
        <v>710.05917159763305</v>
      </c>
      <c r="J35" s="22">
        <f t="shared" si="4"/>
        <v>5000000</v>
      </c>
      <c r="K35" s="22"/>
      <c r="L35" s="409">
        <v>5000000</v>
      </c>
      <c r="M35" s="326">
        <v>4500000</v>
      </c>
      <c r="N35" s="206">
        <f t="shared" si="7"/>
        <v>710.05917159763305</v>
      </c>
    </row>
    <row r="36" spans="1:18" x14ac:dyDescent="0.25">
      <c r="A36" s="3">
        <v>15</v>
      </c>
      <c r="B36" s="28"/>
      <c r="C36" s="3" t="s">
        <v>338</v>
      </c>
      <c r="D36" s="3"/>
      <c r="E36" s="22">
        <v>50700</v>
      </c>
      <c r="F36" s="22">
        <f t="shared" si="1"/>
        <v>1318200</v>
      </c>
      <c r="G36" s="3">
        <v>5</v>
      </c>
      <c r="H36" s="22">
        <f t="shared" si="2"/>
        <v>263640</v>
      </c>
      <c r="I36" s="360">
        <f t="shared" si="3"/>
        <v>18.965255651646185</v>
      </c>
      <c r="J36" s="22">
        <f>L36-K36</f>
        <v>5000000</v>
      </c>
      <c r="K36" s="22"/>
      <c r="L36" s="409">
        <v>5000000</v>
      </c>
      <c r="M36" s="326">
        <v>4500000</v>
      </c>
      <c r="N36" s="206">
        <f t="shared" si="7"/>
        <v>18.965255651646185</v>
      </c>
    </row>
    <row r="37" spans="1:18" x14ac:dyDescent="0.25">
      <c r="A37" s="37" t="s">
        <v>8</v>
      </c>
      <c r="B37" s="337"/>
      <c r="C37" s="37" t="s">
        <v>271</v>
      </c>
      <c r="D37" s="37"/>
      <c r="E37" s="37"/>
      <c r="F37" s="37"/>
      <c r="G37" s="37"/>
      <c r="H37" s="40"/>
      <c r="I37" s="40"/>
      <c r="J37" s="40"/>
      <c r="K37" s="40"/>
      <c r="L37" s="409"/>
      <c r="M37" s="326"/>
      <c r="N37" s="206"/>
    </row>
    <row r="38" spans="1:18" s="334" customFormat="1" x14ac:dyDescent="0.25">
      <c r="A38" s="330">
        <v>1</v>
      </c>
      <c r="B38" s="338" t="s">
        <v>5</v>
      </c>
      <c r="C38" s="331" t="s">
        <v>683</v>
      </c>
      <c r="D38" s="331"/>
      <c r="E38" s="330">
        <v>7</v>
      </c>
      <c r="F38" s="330">
        <f t="shared" ref="F38:F44" si="9">E38*26</f>
        <v>182</v>
      </c>
      <c r="G38" s="330">
        <v>1</v>
      </c>
      <c r="H38" s="332">
        <f t="shared" ref="H38:H50" si="10">F38/G38</f>
        <v>182</v>
      </c>
      <c r="I38" s="361">
        <f t="shared" ref="I38:I50" si="11">J38/H38*$K$2*8/7</f>
        <v>34536.89167974882</v>
      </c>
      <c r="J38" s="332">
        <f>L38-K38</f>
        <v>5500000</v>
      </c>
      <c r="K38" s="332"/>
      <c r="L38" s="409">
        <v>5500000</v>
      </c>
      <c r="M38" s="326">
        <v>5000000</v>
      </c>
      <c r="N38" s="333">
        <f t="shared" ref="N38:N43" si="12">J38/H38</f>
        <v>30219.780219780219</v>
      </c>
      <c r="P38" s="334">
        <f>I38*8</f>
        <v>276295.13343799056</v>
      </c>
      <c r="Q38" s="335">
        <f>I38*4</f>
        <v>138147.56671899528</v>
      </c>
      <c r="R38" s="334">
        <f>Q38*1.5</f>
        <v>207221.35007849292</v>
      </c>
    </row>
    <row r="39" spans="1:18" s="334" customFormat="1" x14ac:dyDescent="0.25">
      <c r="A39" s="330">
        <v>2</v>
      </c>
      <c r="B39" s="338" t="s">
        <v>5</v>
      </c>
      <c r="C39" s="331" t="s">
        <v>684</v>
      </c>
      <c r="D39" s="331" t="s">
        <v>671</v>
      </c>
      <c r="E39" s="330">
        <v>7</v>
      </c>
      <c r="F39" s="330">
        <f t="shared" si="9"/>
        <v>182</v>
      </c>
      <c r="G39" s="330">
        <v>1</v>
      </c>
      <c r="H39" s="332">
        <f t="shared" si="10"/>
        <v>182</v>
      </c>
      <c r="I39" s="361">
        <f t="shared" si="11"/>
        <v>35478.806907378334</v>
      </c>
      <c r="J39" s="332">
        <f t="shared" ref="J39:J43" si="13">L39-K39</f>
        <v>5650000</v>
      </c>
      <c r="K39" s="332"/>
      <c r="L39" s="409">
        <v>5650000</v>
      </c>
      <c r="M39" s="326">
        <v>5000000</v>
      </c>
      <c r="N39" s="333">
        <f t="shared" si="12"/>
        <v>31043.956043956045</v>
      </c>
      <c r="Q39" s="335">
        <f>3745000/26/8*4*1.5</f>
        <v>108028.84615384616</v>
      </c>
    </row>
    <row r="40" spans="1:18" s="334" customFormat="1" x14ac:dyDescent="0.25">
      <c r="A40" s="330">
        <v>3</v>
      </c>
      <c r="B40" s="338" t="s">
        <v>5</v>
      </c>
      <c r="C40" s="331" t="s">
        <v>685</v>
      </c>
      <c r="D40" s="331"/>
      <c r="E40" s="330">
        <v>7</v>
      </c>
      <c r="F40" s="330">
        <f t="shared" si="9"/>
        <v>182</v>
      </c>
      <c r="G40" s="330">
        <v>1</v>
      </c>
      <c r="H40" s="332">
        <f t="shared" si="10"/>
        <v>182</v>
      </c>
      <c r="I40" s="361">
        <f t="shared" si="11"/>
        <v>34536.89167974882</v>
      </c>
      <c r="J40" s="332">
        <f t="shared" si="13"/>
        <v>5500000</v>
      </c>
      <c r="K40" s="332"/>
      <c r="L40" s="409">
        <v>5500000</v>
      </c>
      <c r="M40" s="326">
        <v>5000000</v>
      </c>
      <c r="N40" s="333">
        <f t="shared" si="12"/>
        <v>30219.780219780219</v>
      </c>
      <c r="Q40" s="335">
        <f>SUM(Q38:Q39)</f>
        <v>246176.41287284144</v>
      </c>
      <c r="R40" s="385">
        <f>(Q40-R38)/R38</f>
        <v>0.18798768939393945</v>
      </c>
    </row>
    <row r="41" spans="1:18" s="334" customFormat="1" x14ac:dyDescent="0.25">
      <c r="A41" s="330">
        <v>4</v>
      </c>
      <c r="B41" s="338" t="s">
        <v>5</v>
      </c>
      <c r="C41" s="331" t="s">
        <v>686</v>
      </c>
      <c r="D41" s="331"/>
      <c r="E41" s="330">
        <v>7</v>
      </c>
      <c r="F41" s="330">
        <f t="shared" si="9"/>
        <v>182</v>
      </c>
      <c r="G41" s="330">
        <v>1</v>
      </c>
      <c r="H41" s="332">
        <f t="shared" si="10"/>
        <v>182</v>
      </c>
      <c r="I41" s="361">
        <f t="shared" si="11"/>
        <v>34536.89167974882</v>
      </c>
      <c r="J41" s="332">
        <f t="shared" si="13"/>
        <v>5500000</v>
      </c>
      <c r="K41" s="332"/>
      <c r="L41" s="409">
        <v>5500000</v>
      </c>
      <c r="M41" s="326">
        <v>5000000</v>
      </c>
      <c r="N41" s="333">
        <f t="shared" si="12"/>
        <v>30219.780219780219</v>
      </c>
      <c r="Q41" s="335"/>
    </row>
    <row r="42" spans="1:18" s="334" customFormat="1" x14ac:dyDescent="0.25">
      <c r="A42" s="330">
        <v>5</v>
      </c>
      <c r="B42" s="338" t="s">
        <v>5</v>
      </c>
      <c r="C42" s="331" t="s">
        <v>687</v>
      </c>
      <c r="D42" s="331"/>
      <c r="E42" s="330">
        <v>7</v>
      </c>
      <c r="F42" s="330">
        <f t="shared" si="9"/>
        <v>182</v>
      </c>
      <c r="G42" s="330">
        <v>1</v>
      </c>
      <c r="H42" s="332">
        <f t="shared" si="10"/>
        <v>182</v>
      </c>
      <c r="I42" s="361">
        <f t="shared" si="11"/>
        <v>31397.174254317109</v>
      </c>
      <c r="J42" s="332">
        <f t="shared" si="13"/>
        <v>5000000</v>
      </c>
      <c r="K42" s="332"/>
      <c r="L42" s="409">
        <v>5000000</v>
      </c>
      <c r="M42" s="326">
        <v>4500000</v>
      </c>
      <c r="N42" s="333">
        <f t="shared" si="12"/>
        <v>27472.527472527472</v>
      </c>
      <c r="Q42" s="335"/>
    </row>
    <row r="43" spans="1:18" s="334" customFormat="1" x14ac:dyDescent="0.25">
      <c r="A43" s="330">
        <v>6</v>
      </c>
      <c r="B43" s="338" t="s">
        <v>5</v>
      </c>
      <c r="C43" s="331" t="s">
        <v>688</v>
      </c>
      <c r="D43" s="331"/>
      <c r="E43" s="330">
        <v>7</v>
      </c>
      <c r="F43" s="330">
        <f t="shared" si="9"/>
        <v>182</v>
      </c>
      <c r="G43" s="330">
        <v>1</v>
      </c>
      <c r="H43" s="332">
        <f t="shared" si="10"/>
        <v>182</v>
      </c>
      <c r="I43" s="361">
        <f t="shared" si="11"/>
        <v>31397.174254317109</v>
      </c>
      <c r="J43" s="332">
        <f t="shared" si="13"/>
        <v>5000000</v>
      </c>
      <c r="K43" s="332"/>
      <c r="L43" s="409">
        <v>5000000</v>
      </c>
      <c r="M43" s="326">
        <v>4500000</v>
      </c>
      <c r="N43" s="333">
        <f t="shared" si="12"/>
        <v>27472.527472527472</v>
      </c>
      <c r="P43" s="386">
        <f>I38*8</f>
        <v>276295.13343799056</v>
      </c>
      <c r="Q43" s="335"/>
    </row>
    <row r="44" spans="1:18" s="322" customFormat="1" x14ac:dyDescent="0.25">
      <c r="A44" s="319">
        <v>1</v>
      </c>
      <c r="B44" s="339" t="s">
        <v>6</v>
      </c>
      <c r="C44" s="320" t="s">
        <v>693</v>
      </c>
      <c r="D44" s="320"/>
      <c r="E44" s="319">
        <v>7</v>
      </c>
      <c r="F44" s="319">
        <f t="shared" si="9"/>
        <v>182</v>
      </c>
      <c r="G44" s="319">
        <v>1</v>
      </c>
      <c r="H44" s="306">
        <f t="shared" si="10"/>
        <v>182</v>
      </c>
      <c r="I44" s="362">
        <f t="shared" si="11"/>
        <v>36420.722135007854</v>
      </c>
      <c r="J44" s="306">
        <f t="shared" ref="J44:J49" si="14">L44-K44</f>
        <v>5800000</v>
      </c>
      <c r="K44" s="306"/>
      <c r="L44" s="409">
        <v>5800000</v>
      </c>
      <c r="M44" s="328"/>
      <c r="N44" s="321">
        <f t="shared" si="7"/>
        <v>31868.13186813187</v>
      </c>
      <c r="P44" s="386">
        <f>L50/26</f>
        <v>240384.61538461538</v>
      </c>
      <c r="Q44" s="323">
        <f>P44/7</f>
        <v>34340.659340659338</v>
      </c>
      <c r="R44" s="387">
        <f>Q44*8</f>
        <v>274725.27472527471</v>
      </c>
    </row>
    <row r="45" spans="1:18" s="322" customFormat="1" x14ac:dyDescent="0.25">
      <c r="A45" s="319">
        <v>2</v>
      </c>
      <c r="B45" s="339" t="s">
        <v>6</v>
      </c>
      <c r="C45" s="320" t="s">
        <v>692</v>
      </c>
      <c r="D45" s="320" t="s">
        <v>671</v>
      </c>
      <c r="E45" s="319">
        <v>7</v>
      </c>
      <c r="F45" s="319">
        <f t="shared" ref="F45:F59" si="15">E45*26</f>
        <v>182</v>
      </c>
      <c r="G45" s="319">
        <v>1</v>
      </c>
      <c r="H45" s="306">
        <f t="shared" si="10"/>
        <v>182</v>
      </c>
      <c r="I45" s="362">
        <f t="shared" si="11"/>
        <v>37362.637362637361</v>
      </c>
      <c r="J45" s="306">
        <f t="shared" si="14"/>
        <v>5950000</v>
      </c>
      <c r="K45" s="306"/>
      <c r="L45" s="409">
        <v>5950000</v>
      </c>
      <c r="M45" s="328"/>
      <c r="N45" s="321">
        <f t="shared" si="7"/>
        <v>32692.307692307691</v>
      </c>
      <c r="Q45" s="323"/>
      <c r="R45" s="387">
        <f>R44/7</f>
        <v>39246.467817896388</v>
      </c>
    </row>
    <row r="46" spans="1:18" s="322" customFormat="1" x14ac:dyDescent="0.25">
      <c r="A46" s="319">
        <v>3</v>
      </c>
      <c r="B46" s="339" t="s">
        <v>6</v>
      </c>
      <c r="C46" s="320" t="s">
        <v>689</v>
      </c>
      <c r="D46" s="320"/>
      <c r="E46" s="319">
        <v>7</v>
      </c>
      <c r="F46" s="319">
        <f t="shared" si="15"/>
        <v>182</v>
      </c>
      <c r="G46" s="319">
        <v>1</v>
      </c>
      <c r="H46" s="306">
        <f t="shared" si="10"/>
        <v>182</v>
      </c>
      <c r="I46" s="362">
        <f t="shared" si="11"/>
        <v>36420.722135007854</v>
      </c>
      <c r="J46" s="306">
        <f t="shared" si="14"/>
        <v>5800000</v>
      </c>
      <c r="K46" s="306"/>
      <c r="L46" s="409">
        <v>5800000</v>
      </c>
      <c r="M46" s="328"/>
      <c r="N46" s="321">
        <f t="shared" si="7"/>
        <v>31868.13186813187</v>
      </c>
      <c r="Q46" s="323">
        <f>R46*26</f>
        <v>8163265.3061224483</v>
      </c>
      <c r="R46" s="387">
        <f>R45*8</f>
        <v>313971.7425431711</v>
      </c>
    </row>
    <row r="47" spans="1:18" s="322" customFormat="1" x14ac:dyDescent="0.25">
      <c r="A47" s="319">
        <v>4</v>
      </c>
      <c r="B47" s="339" t="s">
        <v>6</v>
      </c>
      <c r="C47" s="320" t="s">
        <v>690</v>
      </c>
      <c r="D47" s="320"/>
      <c r="E47" s="319">
        <v>7</v>
      </c>
      <c r="F47" s="319">
        <f t="shared" si="15"/>
        <v>182</v>
      </c>
      <c r="G47" s="319">
        <v>1</v>
      </c>
      <c r="H47" s="306">
        <f t="shared" si="10"/>
        <v>182</v>
      </c>
      <c r="I47" s="362">
        <f t="shared" si="11"/>
        <v>36420.722135007854</v>
      </c>
      <c r="J47" s="306">
        <f t="shared" si="14"/>
        <v>5800000</v>
      </c>
      <c r="K47" s="306"/>
      <c r="L47" s="409">
        <v>5800000</v>
      </c>
      <c r="M47" s="328"/>
      <c r="N47" s="321">
        <f t="shared" si="7"/>
        <v>31868.13186813187</v>
      </c>
      <c r="Q47" s="323">
        <f>I50*8*26</f>
        <v>8163265.3061224483</v>
      </c>
      <c r="R47" s="387">
        <f>R46-R44</f>
        <v>39246.467817896395</v>
      </c>
    </row>
    <row r="48" spans="1:18" s="322" customFormat="1" x14ac:dyDescent="0.25">
      <c r="A48" s="319">
        <v>5</v>
      </c>
      <c r="B48" s="339" t="s">
        <v>6</v>
      </c>
      <c r="C48" s="320" t="s">
        <v>690</v>
      </c>
      <c r="D48" s="320"/>
      <c r="E48" s="319">
        <v>7</v>
      </c>
      <c r="F48" s="319">
        <f t="shared" si="15"/>
        <v>182</v>
      </c>
      <c r="G48" s="319">
        <v>1</v>
      </c>
      <c r="H48" s="306">
        <f t="shared" si="10"/>
        <v>182</v>
      </c>
      <c r="I48" s="362">
        <f t="shared" si="11"/>
        <v>33281.00470957614</v>
      </c>
      <c r="J48" s="306">
        <f t="shared" si="14"/>
        <v>5300000</v>
      </c>
      <c r="K48" s="306"/>
      <c r="L48" s="409">
        <v>5300000</v>
      </c>
      <c r="M48" s="328"/>
      <c r="N48" s="321">
        <f t="shared" si="7"/>
        <v>29120.879120879123</v>
      </c>
      <c r="Q48" s="323"/>
    </row>
    <row r="49" spans="1:17" s="322" customFormat="1" x14ac:dyDescent="0.25">
      <c r="A49" s="319">
        <v>6</v>
      </c>
      <c r="B49" s="339" t="s">
        <v>6</v>
      </c>
      <c r="C49" s="320" t="s">
        <v>691</v>
      </c>
      <c r="D49" s="320"/>
      <c r="E49" s="319">
        <v>7</v>
      </c>
      <c r="F49" s="319">
        <f t="shared" si="15"/>
        <v>182</v>
      </c>
      <c r="G49" s="319">
        <v>1</v>
      </c>
      <c r="H49" s="306">
        <f t="shared" si="10"/>
        <v>182</v>
      </c>
      <c r="I49" s="362">
        <f t="shared" si="11"/>
        <v>33281.00470957614</v>
      </c>
      <c r="J49" s="306">
        <f t="shared" si="14"/>
        <v>5300000</v>
      </c>
      <c r="K49" s="306"/>
      <c r="L49" s="409">
        <v>5300000</v>
      </c>
      <c r="M49" s="328"/>
      <c r="N49" s="321">
        <f t="shared" si="7"/>
        <v>29120.879120879123</v>
      </c>
      <c r="Q49" s="323"/>
    </row>
    <row r="50" spans="1:17" s="328" customFormat="1" x14ac:dyDescent="0.25">
      <c r="A50" s="324">
        <v>2</v>
      </c>
      <c r="B50" s="340" t="s">
        <v>8</v>
      </c>
      <c r="C50" s="325" t="s">
        <v>694</v>
      </c>
      <c r="D50" s="325" t="s">
        <v>671</v>
      </c>
      <c r="E50" s="324">
        <v>7</v>
      </c>
      <c r="F50" s="324">
        <f>E50*26</f>
        <v>182</v>
      </c>
      <c r="G50" s="324">
        <v>1</v>
      </c>
      <c r="H50" s="326">
        <f t="shared" si="10"/>
        <v>182</v>
      </c>
      <c r="I50" s="363">
        <f t="shared" si="11"/>
        <v>39246.467817896388</v>
      </c>
      <c r="J50" s="326">
        <f>L50-K50</f>
        <v>6250000</v>
      </c>
      <c r="K50" s="326"/>
      <c r="L50" s="409">
        <f>L45+300000</f>
        <v>6250000</v>
      </c>
      <c r="N50" s="327">
        <f>J50/H50</f>
        <v>34340.659340659338</v>
      </c>
      <c r="Q50" s="329"/>
    </row>
    <row r="51" spans="1:17" x14ac:dyDescent="0.25">
      <c r="A51" s="37" t="s">
        <v>10</v>
      </c>
      <c r="B51" s="337"/>
      <c r="C51" s="38" t="s">
        <v>288</v>
      </c>
      <c r="D51" s="38"/>
      <c r="E51" s="38"/>
      <c r="F51" s="38"/>
      <c r="G51" s="38"/>
      <c r="H51" s="40"/>
      <c r="I51" s="40"/>
      <c r="J51" s="40"/>
      <c r="K51" s="40"/>
      <c r="L51" s="409"/>
      <c r="M51" s="326"/>
      <c r="N51" s="206"/>
    </row>
    <row r="52" spans="1:17" x14ac:dyDescent="0.25">
      <c r="A52" s="3">
        <v>1</v>
      </c>
      <c r="B52" s="28"/>
      <c r="C52" s="35" t="s">
        <v>289</v>
      </c>
      <c r="D52" s="35"/>
      <c r="E52" s="22">
        <v>40000</v>
      </c>
      <c r="F52" s="22">
        <f>E52*26</f>
        <v>1040000</v>
      </c>
      <c r="G52" s="3">
        <v>3</v>
      </c>
      <c r="H52" s="739">
        <f>F52/G52</f>
        <v>346666.66666666669</v>
      </c>
      <c r="I52" s="360">
        <f>J52/H52*$K$2</f>
        <v>15.576923076923077</v>
      </c>
      <c r="J52" s="22">
        <f>L52-K52</f>
        <v>5400000</v>
      </c>
      <c r="K52" s="22"/>
      <c r="L52" s="409">
        <v>5400000</v>
      </c>
      <c r="M52" s="326">
        <v>5200000</v>
      </c>
      <c r="N52" s="206">
        <f>J52/H52</f>
        <v>15.576923076923077</v>
      </c>
      <c r="P52">
        <f>15000*26</f>
        <v>390000</v>
      </c>
      <c r="Q52" s="30">
        <f>+P52*I52</f>
        <v>6075000</v>
      </c>
    </row>
    <row r="53" spans="1:17" x14ac:dyDescent="0.25">
      <c r="A53" s="3">
        <v>2</v>
      </c>
      <c r="B53" s="28"/>
      <c r="C53" s="35" t="s">
        <v>290</v>
      </c>
      <c r="D53" s="35"/>
      <c r="E53" s="22">
        <v>40000</v>
      </c>
      <c r="F53" s="22">
        <f>E53*26</f>
        <v>1040000</v>
      </c>
      <c r="G53" s="3">
        <v>3</v>
      </c>
      <c r="H53" s="22">
        <f>F53/G53</f>
        <v>346666.66666666669</v>
      </c>
      <c r="I53" s="360">
        <f t="shared" si="3"/>
        <v>15.576923076923077</v>
      </c>
      <c r="J53" s="22">
        <f>L53-K53</f>
        <v>5400000</v>
      </c>
      <c r="K53" s="22"/>
      <c r="L53" s="409">
        <v>5400000</v>
      </c>
      <c r="M53" s="326">
        <v>5200000</v>
      </c>
      <c r="N53" s="206">
        <f t="shared" si="7"/>
        <v>15.576923076923077</v>
      </c>
    </row>
    <row r="54" spans="1:17" x14ac:dyDescent="0.25">
      <c r="A54" s="3">
        <v>3</v>
      </c>
      <c r="B54" s="28"/>
      <c r="C54" s="35" t="s">
        <v>291</v>
      </c>
      <c r="D54" s="35"/>
      <c r="E54" s="22">
        <v>40000</v>
      </c>
      <c r="F54" s="22">
        <f>E54*26</f>
        <v>1040000</v>
      </c>
      <c r="G54" s="3">
        <v>3</v>
      </c>
      <c r="H54" s="22">
        <f>F54/G54</f>
        <v>346666.66666666669</v>
      </c>
      <c r="I54" s="360">
        <f t="shared" si="3"/>
        <v>15.576923076923077</v>
      </c>
      <c r="J54" s="22">
        <f>L54-K54</f>
        <v>5400000</v>
      </c>
      <c r="K54" s="22"/>
      <c r="L54" s="409">
        <v>5400000</v>
      </c>
      <c r="M54" s="326">
        <v>5200000</v>
      </c>
      <c r="N54" s="206">
        <f t="shared" si="7"/>
        <v>15.576923076923077</v>
      </c>
    </row>
    <row r="55" spans="1:17" x14ac:dyDescent="0.25">
      <c r="A55" s="3">
        <v>4</v>
      </c>
      <c r="B55" s="28"/>
      <c r="C55" s="35" t="s">
        <v>292</v>
      </c>
      <c r="D55" s="35"/>
      <c r="E55" s="22">
        <v>40000</v>
      </c>
      <c r="F55" s="22">
        <f>E55*26</f>
        <v>1040000</v>
      </c>
      <c r="G55" s="3">
        <v>3</v>
      </c>
      <c r="H55" s="22">
        <f>F55/G55</f>
        <v>346666.66666666669</v>
      </c>
      <c r="I55" s="360">
        <f t="shared" si="3"/>
        <v>15.576923076923077</v>
      </c>
      <c r="J55" s="22">
        <f>L55-K55</f>
        <v>5400000</v>
      </c>
      <c r="K55" s="22"/>
      <c r="L55" s="409">
        <v>5400000</v>
      </c>
      <c r="M55" s="326">
        <v>5200000</v>
      </c>
      <c r="N55" s="206">
        <f t="shared" si="7"/>
        <v>15.576923076923077</v>
      </c>
    </row>
    <row r="56" spans="1:17" x14ac:dyDescent="0.25">
      <c r="A56" s="37" t="s">
        <v>10</v>
      </c>
      <c r="B56" s="337"/>
      <c r="C56" s="38" t="s">
        <v>272</v>
      </c>
      <c r="D56" s="38"/>
      <c r="E56" s="38"/>
      <c r="F56" s="38"/>
      <c r="G56" s="38"/>
      <c r="H56" s="40"/>
      <c r="I56" s="40"/>
      <c r="J56" s="40"/>
      <c r="K56" s="40"/>
      <c r="L56" s="409"/>
      <c r="M56" s="326"/>
      <c r="N56" s="206"/>
    </row>
    <row r="57" spans="1:17" x14ac:dyDescent="0.25">
      <c r="A57" s="3">
        <v>1</v>
      </c>
      <c r="B57" s="28"/>
      <c r="C57" s="35" t="s">
        <v>249</v>
      </c>
      <c r="D57" s="35"/>
      <c r="E57" s="3">
        <v>8</v>
      </c>
      <c r="F57" s="3">
        <f t="shared" si="15"/>
        <v>208</v>
      </c>
      <c r="G57" s="3">
        <v>1</v>
      </c>
      <c r="H57" s="22">
        <f>F57/G57</f>
        <v>208</v>
      </c>
      <c r="I57" s="360">
        <f t="shared" si="3"/>
        <v>25000</v>
      </c>
      <c r="J57" s="22">
        <f>L57-K57</f>
        <v>5200000</v>
      </c>
      <c r="K57" s="22"/>
      <c r="L57" s="409">
        <v>5200000</v>
      </c>
      <c r="M57" s="326">
        <v>5000000</v>
      </c>
      <c r="N57" s="206">
        <f t="shared" si="7"/>
        <v>25000</v>
      </c>
    </row>
    <row r="58" spans="1:17" x14ac:dyDescent="0.25">
      <c r="A58" s="3">
        <v>2</v>
      </c>
      <c r="B58" s="28"/>
      <c r="C58" s="35" t="s">
        <v>250</v>
      </c>
      <c r="D58" s="35"/>
      <c r="E58" s="3">
        <v>8</v>
      </c>
      <c r="F58" s="3">
        <f t="shared" si="15"/>
        <v>208</v>
      </c>
      <c r="G58" s="3">
        <v>1</v>
      </c>
      <c r="H58" s="22">
        <f>F58/G58</f>
        <v>208</v>
      </c>
      <c r="I58" s="360">
        <f t="shared" si="3"/>
        <v>25000</v>
      </c>
      <c r="J58" s="22">
        <f>L58-K58</f>
        <v>5200000</v>
      </c>
      <c r="K58" s="22"/>
      <c r="L58" s="409">
        <v>5200000</v>
      </c>
      <c r="M58" s="326">
        <v>5000000</v>
      </c>
      <c r="N58" s="206">
        <f t="shared" si="7"/>
        <v>25000</v>
      </c>
    </row>
    <row r="59" spans="1:17" x14ac:dyDescent="0.25">
      <c r="A59" s="3">
        <v>4</v>
      </c>
      <c r="B59" s="28"/>
      <c r="C59" s="35" t="s">
        <v>251</v>
      </c>
      <c r="D59" s="35"/>
      <c r="E59" s="3">
        <v>8</v>
      </c>
      <c r="F59" s="3">
        <f t="shared" si="15"/>
        <v>208</v>
      </c>
      <c r="G59" s="3">
        <v>1</v>
      </c>
      <c r="H59" s="22">
        <f>F59/G59</f>
        <v>208</v>
      </c>
      <c r="I59" s="360">
        <f t="shared" si="3"/>
        <v>25000</v>
      </c>
      <c r="J59" s="22">
        <f>L59-K59</f>
        <v>5200000</v>
      </c>
      <c r="K59" s="22"/>
      <c r="L59" s="409">
        <v>5200000</v>
      </c>
      <c r="M59" s="326">
        <v>5000000</v>
      </c>
      <c r="N59" s="206">
        <f t="shared" si="7"/>
        <v>25000</v>
      </c>
    </row>
    <row r="60" spans="1:17" x14ac:dyDescent="0.25">
      <c r="A60" s="37" t="s">
        <v>274</v>
      </c>
      <c r="B60" s="337"/>
      <c r="C60" s="38" t="s">
        <v>273</v>
      </c>
      <c r="D60" s="38"/>
      <c r="E60" s="38"/>
      <c r="F60" s="38"/>
      <c r="G60" s="38"/>
      <c r="H60" s="40"/>
      <c r="I60" s="40"/>
      <c r="J60" s="40"/>
      <c r="K60" s="40"/>
      <c r="L60" s="409"/>
      <c r="M60" s="326"/>
      <c r="N60" s="206"/>
    </row>
    <row r="61" spans="1:17" x14ac:dyDescent="0.25">
      <c r="A61" s="3">
        <v>1</v>
      </c>
      <c r="B61" s="28"/>
      <c r="C61" s="3" t="s">
        <v>244</v>
      </c>
      <c r="D61" s="3"/>
      <c r="E61" s="3">
        <v>8</v>
      </c>
      <c r="F61" s="3">
        <f>E61*26</f>
        <v>208</v>
      </c>
      <c r="G61" s="3">
        <v>1</v>
      </c>
      <c r="H61" s="22">
        <f>F61/G61</f>
        <v>208</v>
      </c>
      <c r="I61" s="360">
        <f t="shared" si="3"/>
        <v>22596.153846153848</v>
      </c>
      <c r="J61" s="22">
        <f>L61-K61</f>
        <v>4700000</v>
      </c>
      <c r="K61" s="22"/>
      <c r="L61" s="409">
        <v>4700000</v>
      </c>
      <c r="M61" s="326">
        <v>4200000</v>
      </c>
      <c r="N61" s="206">
        <f t="shared" si="7"/>
        <v>22596.153846153848</v>
      </c>
    </row>
    <row r="62" spans="1:17" x14ac:dyDescent="0.25">
      <c r="A62" s="3">
        <v>2</v>
      </c>
      <c r="B62" s="28"/>
      <c r="C62" s="3" t="s">
        <v>245</v>
      </c>
      <c r="D62" s="3"/>
      <c r="E62" s="3">
        <v>8</v>
      </c>
      <c r="F62" s="3">
        <f t="shared" ref="F62:F74" si="16">E62*26</f>
        <v>208</v>
      </c>
      <c r="G62" s="3">
        <v>1</v>
      </c>
      <c r="H62" s="22">
        <f t="shared" ref="H62:H70" si="17">F62/G62</f>
        <v>208</v>
      </c>
      <c r="I62" s="360">
        <f t="shared" si="3"/>
        <v>21634.615384615383</v>
      </c>
      <c r="J62" s="22">
        <f t="shared" ref="J62:J70" si="18">L62-K62</f>
        <v>4500000</v>
      </c>
      <c r="K62" s="22"/>
      <c r="L62" s="409">
        <v>4500000</v>
      </c>
      <c r="M62" s="326">
        <v>4000000</v>
      </c>
      <c r="N62" s="206">
        <f t="shared" si="7"/>
        <v>21634.615384615383</v>
      </c>
    </row>
    <row r="63" spans="1:17" x14ac:dyDescent="0.25">
      <c r="A63" s="3">
        <v>3</v>
      </c>
      <c r="B63" s="28"/>
      <c r="C63" s="3" t="s">
        <v>246</v>
      </c>
      <c r="D63" s="3"/>
      <c r="E63" s="3">
        <v>8</v>
      </c>
      <c r="F63" s="3">
        <f t="shared" si="16"/>
        <v>208</v>
      </c>
      <c r="G63" s="3">
        <v>1</v>
      </c>
      <c r="H63" s="22">
        <f t="shared" si="17"/>
        <v>208</v>
      </c>
      <c r="I63" s="360">
        <f t="shared" si="3"/>
        <v>22596.153846153848</v>
      </c>
      <c r="J63" s="22">
        <f t="shared" si="18"/>
        <v>4700000</v>
      </c>
      <c r="K63" s="22"/>
      <c r="L63" s="409">
        <v>4700000</v>
      </c>
      <c r="M63" s="326">
        <v>4200000</v>
      </c>
      <c r="N63" s="206">
        <f t="shared" si="7"/>
        <v>22596.153846153848</v>
      </c>
    </row>
    <row r="64" spans="1:17" x14ac:dyDescent="0.25">
      <c r="A64" s="3">
        <v>4</v>
      </c>
      <c r="B64" s="341"/>
      <c r="C64" s="35" t="s">
        <v>247</v>
      </c>
      <c r="D64" s="35"/>
      <c r="E64" s="3">
        <v>8</v>
      </c>
      <c r="F64" s="3">
        <f t="shared" si="16"/>
        <v>208</v>
      </c>
      <c r="G64" s="3">
        <v>1</v>
      </c>
      <c r="H64" s="22">
        <f t="shared" si="17"/>
        <v>208</v>
      </c>
      <c r="I64" s="360">
        <f t="shared" si="3"/>
        <v>21634.615384615383</v>
      </c>
      <c r="J64" s="22">
        <f t="shared" si="18"/>
        <v>4500000</v>
      </c>
      <c r="K64" s="22"/>
      <c r="L64" s="409">
        <v>4500000</v>
      </c>
      <c r="M64" s="326">
        <v>4000000</v>
      </c>
      <c r="N64" s="206">
        <f t="shared" si="7"/>
        <v>21634.615384615383</v>
      </c>
      <c r="P64">
        <f>26*8</f>
        <v>208</v>
      </c>
      <c r="Q64" s="30">
        <f>+P64*I64</f>
        <v>4500000</v>
      </c>
    </row>
    <row r="65" spans="1:14" x14ac:dyDescent="0.25">
      <c r="A65" s="3">
        <v>5</v>
      </c>
      <c r="B65" s="341"/>
      <c r="C65" s="35" t="s">
        <v>248</v>
      </c>
      <c r="D65" s="35"/>
      <c r="E65" s="3">
        <v>8</v>
      </c>
      <c r="F65" s="3">
        <f t="shared" si="16"/>
        <v>208</v>
      </c>
      <c r="G65" s="3">
        <v>1</v>
      </c>
      <c r="H65" s="22">
        <f t="shared" si="17"/>
        <v>208</v>
      </c>
      <c r="I65" s="360">
        <f t="shared" si="3"/>
        <v>21634.615384615383</v>
      </c>
      <c r="J65" s="22">
        <f t="shared" si="18"/>
        <v>4500000</v>
      </c>
      <c r="K65" s="22"/>
      <c r="L65" s="409">
        <v>4500000</v>
      </c>
      <c r="M65" s="326">
        <v>4000000</v>
      </c>
      <c r="N65" s="206">
        <f t="shared" si="7"/>
        <v>21634.615384615383</v>
      </c>
    </row>
    <row r="66" spans="1:14" x14ac:dyDescent="0.25">
      <c r="A66" s="3">
        <v>6</v>
      </c>
      <c r="B66" s="341"/>
      <c r="C66" s="35" t="s">
        <v>252</v>
      </c>
      <c r="D66" s="35"/>
      <c r="E66" s="3">
        <v>8</v>
      </c>
      <c r="F66" s="3">
        <f t="shared" si="16"/>
        <v>208</v>
      </c>
      <c r="G66" s="3">
        <v>1</v>
      </c>
      <c r="H66" s="22">
        <f t="shared" si="17"/>
        <v>208</v>
      </c>
      <c r="I66" s="360">
        <f t="shared" si="3"/>
        <v>22596.153846153848</v>
      </c>
      <c r="J66" s="22">
        <f t="shared" si="18"/>
        <v>4700000</v>
      </c>
      <c r="K66" s="22"/>
      <c r="L66" s="409">
        <v>4700000</v>
      </c>
      <c r="M66" s="326">
        <v>4200000</v>
      </c>
      <c r="N66" s="206">
        <f t="shared" si="7"/>
        <v>22596.153846153848</v>
      </c>
    </row>
    <row r="67" spans="1:14" x14ac:dyDescent="0.25">
      <c r="A67" s="3">
        <v>7</v>
      </c>
      <c r="B67" s="341"/>
      <c r="C67" s="35" t="s">
        <v>258</v>
      </c>
      <c r="D67" s="35"/>
      <c r="E67" s="3">
        <v>8</v>
      </c>
      <c r="F67" s="3">
        <f t="shared" si="16"/>
        <v>208</v>
      </c>
      <c r="G67" s="3">
        <v>1</v>
      </c>
      <c r="H67" s="22">
        <f t="shared" si="17"/>
        <v>208</v>
      </c>
      <c r="I67" s="360">
        <f t="shared" si="3"/>
        <v>21634.615384615383</v>
      </c>
      <c r="J67" s="22">
        <f t="shared" si="18"/>
        <v>4500000</v>
      </c>
      <c r="K67" s="22"/>
      <c r="L67" s="409">
        <v>4500000</v>
      </c>
      <c r="M67" s="326">
        <v>4000000</v>
      </c>
      <c r="N67" s="206">
        <f t="shared" si="7"/>
        <v>21634.615384615383</v>
      </c>
    </row>
    <row r="68" spans="1:14" x14ac:dyDescent="0.25">
      <c r="A68" s="3">
        <v>8</v>
      </c>
      <c r="B68" s="341"/>
      <c r="C68" s="35" t="s">
        <v>259</v>
      </c>
      <c r="D68" s="35"/>
      <c r="E68" s="3">
        <v>8</v>
      </c>
      <c r="F68" s="3">
        <f t="shared" si="16"/>
        <v>208</v>
      </c>
      <c r="G68" s="3">
        <v>1</v>
      </c>
      <c r="H68" s="22">
        <f t="shared" si="17"/>
        <v>208</v>
      </c>
      <c r="I68" s="360">
        <f t="shared" si="3"/>
        <v>22596.153846153848</v>
      </c>
      <c r="J68" s="22">
        <f t="shared" si="18"/>
        <v>4700000</v>
      </c>
      <c r="K68" s="22"/>
      <c r="L68" s="409">
        <v>4700000</v>
      </c>
      <c r="M68" s="326">
        <v>4200000</v>
      </c>
      <c r="N68" s="206">
        <f t="shared" si="7"/>
        <v>22596.153846153848</v>
      </c>
    </row>
    <row r="69" spans="1:14" x14ac:dyDescent="0.25">
      <c r="A69" s="3">
        <v>9</v>
      </c>
      <c r="B69" s="341"/>
      <c r="C69" s="35" t="s">
        <v>260</v>
      </c>
      <c r="D69" s="35"/>
      <c r="E69" s="3">
        <v>8</v>
      </c>
      <c r="F69" s="3">
        <f t="shared" si="16"/>
        <v>208</v>
      </c>
      <c r="G69" s="3">
        <v>1</v>
      </c>
      <c r="H69" s="22">
        <f t="shared" si="17"/>
        <v>208</v>
      </c>
      <c r="I69" s="360">
        <f t="shared" si="3"/>
        <v>22596.153846153848</v>
      </c>
      <c r="J69" s="22">
        <f t="shared" si="18"/>
        <v>4700000</v>
      </c>
      <c r="K69" s="22"/>
      <c r="L69" s="409">
        <v>4700000</v>
      </c>
      <c r="M69" s="326">
        <v>4200000</v>
      </c>
      <c r="N69" s="206">
        <f t="shared" si="7"/>
        <v>22596.153846153848</v>
      </c>
    </row>
    <row r="70" spans="1:14" x14ac:dyDescent="0.25">
      <c r="A70" s="3">
        <v>10</v>
      </c>
      <c r="B70" s="341"/>
      <c r="C70" s="35" t="s">
        <v>261</v>
      </c>
      <c r="D70" s="35"/>
      <c r="E70" s="3">
        <v>8</v>
      </c>
      <c r="F70" s="3">
        <f t="shared" si="16"/>
        <v>208</v>
      </c>
      <c r="G70" s="3">
        <v>1</v>
      </c>
      <c r="H70" s="22">
        <f t="shared" si="17"/>
        <v>208</v>
      </c>
      <c r="I70" s="360">
        <f t="shared" si="3"/>
        <v>21634.615384615383</v>
      </c>
      <c r="J70" s="22">
        <f t="shared" si="18"/>
        <v>4500000</v>
      </c>
      <c r="K70" s="22"/>
      <c r="L70" s="409">
        <v>4500000</v>
      </c>
      <c r="M70" s="326">
        <v>4000000</v>
      </c>
      <c r="N70" s="206">
        <f t="shared" si="7"/>
        <v>21634.615384615383</v>
      </c>
    </row>
    <row r="71" spans="1:14" x14ac:dyDescent="0.25">
      <c r="A71" s="3">
        <v>11</v>
      </c>
      <c r="B71" s="341"/>
      <c r="C71" s="35" t="s">
        <v>312</v>
      </c>
      <c r="D71" s="35"/>
      <c r="E71" s="3">
        <v>8</v>
      </c>
      <c r="F71" s="3">
        <f t="shared" si="16"/>
        <v>208</v>
      </c>
      <c r="G71" s="3">
        <v>1</v>
      </c>
      <c r="H71" s="22">
        <f>F71/G71</f>
        <v>208</v>
      </c>
      <c r="I71" s="360">
        <f t="shared" si="3"/>
        <v>24038.461538461539</v>
      </c>
      <c r="J71" s="22">
        <f>L71-K71</f>
        <v>5000000</v>
      </c>
      <c r="K71" s="22"/>
      <c r="L71" s="409">
        <v>5000000</v>
      </c>
      <c r="M71" s="326">
        <v>4500000</v>
      </c>
      <c r="N71" s="206">
        <f t="shared" si="7"/>
        <v>24038.461538461539</v>
      </c>
    </row>
    <row r="72" spans="1:14" x14ac:dyDescent="0.25">
      <c r="A72" s="3">
        <v>12</v>
      </c>
      <c r="B72" s="341"/>
      <c r="C72" s="35" t="s">
        <v>313</v>
      </c>
      <c r="D72" s="35"/>
      <c r="E72" s="3">
        <v>8</v>
      </c>
      <c r="F72" s="3">
        <f t="shared" si="16"/>
        <v>208</v>
      </c>
      <c r="G72" s="3">
        <v>1</v>
      </c>
      <c r="H72" s="22">
        <f>F72/G72</f>
        <v>208</v>
      </c>
      <c r="I72" s="360">
        <f t="shared" si="3"/>
        <v>22596.153846153848</v>
      </c>
      <c r="J72" s="22">
        <f>L72-K72</f>
        <v>4700000</v>
      </c>
      <c r="K72" s="22"/>
      <c r="L72" s="409">
        <v>4700000</v>
      </c>
      <c r="M72" s="326">
        <v>4200000</v>
      </c>
      <c r="N72" s="206">
        <f t="shared" si="7"/>
        <v>22596.153846153848</v>
      </c>
    </row>
    <row r="73" spans="1:14" x14ac:dyDescent="0.25">
      <c r="A73" s="3">
        <v>13</v>
      </c>
      <c r="B73" s="341"/>
      <c r="C73" s="35" t="s">
        <v>319</v>
      </c>
      <c r="D73" s="35"/>
      <c r="E73" s="3">
        <v>8</v>
      </c>
      <c r="F73" s="3">
        <f t="shared" si="16"/>
        <v>208</v>
      </c>
      <c r="G73" s="3">
        <v>1</v>
      </c>
      <c r="H73" s="22">
        <f>F73/G73</f>
        <v>208</v>
      </c>
      <c r="I73" s="360">
        <f t="shared" si="3"/>
        <v>27403.846153846152</v>
      </c>
      <c r="J73" s="22">
        <f>L73-K73</f>
        <v>5700000</v>
      </c>
      <c r="K73" s="22"/>
      <c r="L73" s="409">
        <v>5700000</v>
      </c>
      <c r="M73" s="326">
        <v>5000000</v>
      </c>
      <c r="N73" s="206">
        <f t="shared" si="7"/>
        <v>27403.846153846152</v>
      </c>
    </row>
    <row r="74" spans="1:14" x14ac:dyDescent="0.25">
      <c r="A74" s="3">
        <v>14</v>
      </c>
      <c r="B74" s="341"/>
      <c r="C74" s="35" t="s">
        <v>318</v>
      </c>
      <c r="D74" s="35"/>
      <c r="E74" s="3">
        <v>8</v>
      </c>
      <c r="F74" s="3">
        <f t="shared" si="16"/>
        <v>208</v>
      </c>
      <c r="G74" s="3">
        <v>1</v>
      </c>
      <c r="H74" s="22">
        <f>F74/G74</f>
        <v>208</v>
      </c>
      <c r="I74" s="360">
        <f t="shared" si="3"/>
        <v>27403.846153846152</v>
      </c>
      <c r="J74" s="22">
        <f>L74-K74</f>
        <v>5700000</v>
      </c>
      <c r="K74" s="22"/>
      <c r="L74" s="409">
        <v>5700000</v>
      </c>
      <c r="M74" s="326">
        <v>5000000</v>
      </c>
      <c r="N74" s="206">
        <f t="shared" si="7"/>
        <v>27403.846153846152</v>
      </c>
    </row>
    <row r="75" spans="1:14" x14ac:dyDescent="0.25">
      <c r="N75" s="206"/>
    </row>
  </sheetData>
  <autoFilter ref="A3:M3"/>
  <pageMargins left="0.2" right="0.2" top="0.25" bottom="0.25" header="0.05" footer="0.25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CF101"/>
  <sheetViews>
    <sheetView zoomScale="85" zoomScaleNormal="85" workbookViewId="0">
      <pane xSplit="3" ySplit="4" topLeftCell="BH56" activePane="bottomRight" state="frozen"/>
      <selection activeCell="R40" sqref="R40"/>
      <selection pane="topRight" activeCell="R40" sqref="R40"/>
      <selection pane="bottomLeft" activeCell="R40" sqref="R40"/>
      <selection pane="bottomRight" activeCell="AW69" sqref="AW69"/>
    </sheetView>
  </sheetViews>
  <sheetFormatPr defaultRowHeight="15" x14ac:dyDescent="0.25"/>
  <cols>
    <col min="1" max="1" width="4.7109375" customWidth="1"/>
    <col min="2" max="2" width="7.85546875" customWidth="1"/>
    <col min="3" max="3" width="18" bestFit="1" customWidth="1"/>
    <col min="4" max="4" width="11" style="85" bestFit="1" customWidth="1"/>
    <col min="5" max="5" width="7.85546875" bestFit="1" customWidth="1"/>
    <col min="6" max="6" width="8.7109375" bestFit="1" customWidth="1"/>
    <col min="7" max="7" width="13.28515625" bestFit="1" customWidth="1"/>
    <col min="8" max="8" width="8.85546875" bestFit="1" customWidth="1"/>
    <col min="9" max="9" width="7.85546875" bestFit="1" customWidth="1"/>
    <col min="10" max="10" width="8.85546875" bestFit="1" customWidth="1"/>
    <col min="11" max="11" width="7.85546875" bestFit="1" customWidth="1"/>
    <col min="12" max="14" width="6.85546875" bestFit="1" customWidth="1"/>
    <col min="15" max="15" width="7.85546875" bestFit="1" customWidth="1"/>
    <col min="16" max="17" width="7.7109375" bestFit="1" customWidth="1"/>
    <col min="18" max="18" width="9" customWidth="1"/>
    <col min="19" max="19" width="7.85546875" bestFit="1" customWidth="1"/>
    <col min="20" max="20" width="6.85546875" bestFit="1" customWidth="1"/>
    <col min="21" max="21" width="3.42578125" style="587" customWidth="1"/>
    <col min="22" max="24" width="8.85546875" bestFit="1" customWidth="1"/>
    <col min="25" max="25" width="10.42578125" bestFit="1" customWidth="1"/>
    <col min="26" max="26" width="8.85546875" bestFit="1" customWidth="1"/>
    <col min="27" max="27" width="10.42578125" bestFit="1" customWidth="1"/>
    <col min="28" max="28" width="7.42578125" bestFit="1" customWidth="1"/>
    <col min="29" max="31" width="8.85546875" bestFit="1" customWidth="1"/>
    <col min="32" max="32" width="7.85546875" bestFit="1" customWidth="1"/>
    <col min="33" max="33" width="6.85546875" bestFit="1" customWidth="1"/>
    <col min="34" max="36" width="7.42578125" bestFit="1" customWidth="1"/>
    <col min="37" max="37" width="2.7109375" style="587" customWidth="1"/>
    <col min="38" max="38" width="13.5703125" style="74" customWidth="1"/>
    <col min="39" max="39" width="15.85546875" customWidth="1"/>
    <col min="40" max="40" width="10" customWidth="1"/>
    <col min="41" max="41" width="12.85546875" bestFit="1" customWidth="1"/>
    <col min="42" max="42" width="2.7109375" style="587" customWidth="1"/>
    <col min="43" max="43" width="10.42578125" style="335" bestFit="1" customWidth="1"/>
    <col min="44" max="44" width="10.42578125" style="348" bestFit="1" customWidth="1"/>
    <col min="45" max="45" width="10.42578125" style="349" bestFit="1" customWidth="1"/>
    <col min="46" max="46" width="10.42578125" style="348" bestFit="1" customWidth="1"/>
    <col min="47" max="47" width="10.28515625" style="349" bestFit="1" customWidth="1"/>
    <col min="48" max="48" width="8.7109375" style="349" bestFit="1" customWidth="1"/>
    <col min="49" max="49" width="10.5703125" style="323" customWidth="1"/>
    <col min="50" max="50" width="10.42578125" style="342" bestFit="1" customWidth="1"/>
    <col min="51" max="51" width="10.28515625" style="343" bestFit="1" customWidth="1"/>
    <col min="52" max="52" width="11.85546875" style="342" customWidth="1"/>
    <col min="53" max="53" width="10.140625" style="343" customWidth="1"/>
    <col min="54" max="54" width="9.85546875" style="343" customWidth="1"/>
    <col min="55" max="55" width="8.85546875" style="354" bestFit="1" customWidth="1"/>
    <col min="56" max="56" width="4.28515625" style="587" customWidth="1"/>
    <col min="57" max="57" width="8.85546875" bestFit="1" customWidth="1"/>
    <col min="58" max="58" width="10.28515625" bestFit="1" customWidth="1"/>
    <col min="59" max="59" width="8.7109375" bestFit="1" customWidth="1"/>
    <col min="60" max="60" width="4" bestFit="1" customWidth="1"/>
    <col min="61" max="61" width="4" style="587" customWidth="1"/>
    <col min="62" max="62" width="10.42578125" bestFit="1" customWidth="1"/>
    <col min="63" max="63" width="12" customWidth="1"/>
    <col min="64" max="64" width="10.42578125" bestFit="1" customWidth="1"/>
    <col min="65" max="65" width="12.140625" customWidth="1"/>
    <col min="66" max="66" width="10.5703125" bestFit="1" customWidth="1"/>
    <col min="67" max="67" width="10.42578125" bestFit="1" customWidth="1"/>
    <col min="68" max="68" width="8.7109375" bestFit="1" customWidth="1"/>
    <col min="69" max="69" width="8.85546875" bestFit="1" customWidth="1"/>
    <col min="70" max="70" width="12.28515625" customWidth="1"/>
    <col min="71" max="71" width="8.7109375" bestFit="1" customWidth="1"/>
    <col min="72" max="72" width="10.42578125" bestFit="1" customWidth="1"/>
    <col min="73" max="73" width="11" customWidth="1"/>
    <col min="74" max="74" width="10.28515625" customWidth="1"/>
    <col min="75" max="75" width="8.7109375" bestFit="1" customWidth="1"/>
    <col min="76" max="76" width="12.140625" style="587" customWidth="1"/>
    <col min="77" max="77" width="13.7109375" customWidth="1"/>
    <col min="78" max="78" width="14.28515625" bestFit="1" customWidth="1"/>
    <col min="79" max="79" width="15.7109375" customWidth="1"/>
    <col min="80" max="80" width="14.42578125" bestFit="1" customWidth="1"/>
    <col min="81" max="81" width="11" bestFit="1" customWidth="1"/>
    <col min="82" max="82" width="8.28515625" bestFit="1" customWidth="1"/>
    <col min="83" max="83" width="13.28515625" bestFit="1" customWidth="1"/>
    <col min="84" max="84" width="5.28515625" bestFit="1" customWidth="1"/>
  </cols>
  <sheetData>
    <row r="1" spans="1:84" ht="15.75" x14ac:dyDescent="0.25">
      <c r="A1" s="447" t="s">
        <v>300</v>
      </c>
      <c r="B1" s="446"/>
      <c r="C1" s="446"/>
      <c r="D1" s="561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AL1" s="30">
        <f>AL7+AL8+AL9+AL10+AL11+AL12+AL13+AL14+AL15+AL16+AL32</f>
        <v>4625480</v>
      </c>
      <c r="AM1" s="30">
        <f t="shared" ref="AM1:AO1" si="0">AM7+AM8+AM9+AM10+AM11+AM12+AM13+AM14+AM15+AM16+AM32</f>
        <v>1153449.9999999998</v>
      </c>
      <c r="AN1" s="30">
        <f t="shared" si="0"/>
        <v>0</v>
      </c>
      <c r="AO1" s="30">
        <f t="shared" si="0"/>
        <v>1307230</v>
      </c>
      <c r="BM1" s="108">
        <f>26*8*BM50</f>
        <v>4500000</v>
      </c>
      <c r="BN1" s="108"/>
    </row>
    <row r="2" spans="1:84" x14ac:dyDescent="0.25">
      <c r="A2" s="448" t="s">
        <v>301</v>
      </c>
      <c r="B2" s="446"/>
      <c r="C2" s="446"/>
      <c r="D2" s="561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AM2" s="74"/>
      <c r="AN2" s="74"/>
      <c r="AO2" s="74"/>
    </row>
    <row r="3" spans="1:84" ht="23.25" customHeight="1" x14ac:dyDescent="0.25">
      <c r="A3" s="559" t="s">
        <v>0</v>
      </c>
      <c r="B3" s="559" t="s">
        <v>284</v>
      </c>
      <c r="C3" s="559" t="s">
        <v>2</v>
      </c>
      <c r="D3" s="86" t="s">
        <v>3</v>
      </c>
      <c r="E3" s="1071" t="s">
        <v>285</v>
      </c>
      <c r="F3" s="1072"/>
      <c r="G3" s="1072"/>
      <c r="H3" s="1072"/>
      <c r="I3" s="1072"/>
      <c r="J3" s="1072"/>
      <c r="K3" s="1072"/>
      <c r="L3" s="1072"/>
      <c r="M3" s="1072"/>
      <c r="N3" s="1072"/>
      <c r="O3" s="1072"/>
      <c r="P3" s="1072"/>
      <c r="Q3" s="1072"/>
      <c r="R3" s="1072"/>
      <c r="S3" s="1072"/>
      <c r="T3" s="1073"/>
      <c r="U3" s="588"/>
      <c r="V3" s="1062" t="s">
        <v>283</v>
      </c>
      <c r="W3" s="1063"/>
      <c r="X3" s="1063"/>
      <c r="Y3" s="1063"/>
      <c r="Z3" s="1063"/>
      <c r="AA3" s="1063"/>
      <c r="AB3" s="1063"/>
      <c r="AC3" s="1063"/>
      <c r="AD3" s="1063"/>
      <c r="AE3" s="1063"/>
      <c r="AF3" s="1063"/>
      <c r="AG3" s="1063"/>
      <c r="AH3" s="1063"/>
      <c r="AI3" s="1063"/>
      <c r="AJ3" s="1064"/>
      <c r="AK3" s="588"/>
      <c r="AL3" s="1062" t="s">
        <v>295</v>
      </c>
      <c r="AM3" s="1063"/>
      <c r="AN3" s="1063"/>
      <c r="AO3" s="1064"/>
      <c r="AP3" s="592"/>
      <c r="AQ3" s="1074" t="s">
        <v>286</v>
      </c>
      <c r="AR3" s="1075"/>
      <c r="AS3" s="1075"/>
      <c r="AT3" s="1075"/>
      <c r="AU3" s="1075"/>
      <c r="AV3" s="1075"/>
      <c r="AW3" s="1075"/>
      <c r="AX3" s="1075"/>
      <c r="AY3" s="1075"/>
      <c r="AZ3" s="1075"/>
      <c r="BA3" s="1075"/>
      <c r="BB3" s="1075"/>
      <c r="BC3" s="1076"/>
      <c r="BD3" s="588"/>
      <c r="BE3" s="1062" t="s">
        <v>294</v>
      </c>
      <c r="BF3" s="1063"/>
      <c r="BG3" s="1063"/>
      <c r="BH3" s="1064"/>
      <c r="BI3" s="58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3"/>
      <c r="BW3" s="1064"/>
      <c r="BX3" s="588"/>
    </row>
    <row r="4" spans="1:84" s="46" customFormat="1" ht="63.75" customHeight="1" x14ac:dyDescent="0.25">
      <c r="A4" s="49"/>
      <c r="B4" s="49"/>
      <c r="C4" s="49"/>
      <c r="D4" s="449"/>
      <c r="E4" s="450" t="s">
        <v>323</v>
      </c>
      <c r="F4" s="450" t="s">
        <v>324</v>
      </c>
      <c r="G4" s="450" t="s">
        <v>325</v>
      </c>
      <c r="H4" s="450" t="s">
        <v>326</v>
      </c>
      <c r="I4" s="450" t="s">
        <v>327</v>
      </c>
      <c r="J4" s="450" t="s">
        <v>328</v>
      </c>
      <c r="K4" s="450" t="s">
        <v>329</v>
      </c>
      <c r="L4" s="450" t="s">
        <v>330</v>
      </c>
      <c r="M4" s="450" t="s">
        <v>331</v>
      </c>
      <c r="N4" s="450" t="s">
        <v>332</v>
      </c>
      <c r="O4" s="450" t="s">
        <v>333</v>
      </c>
      <c r="P4" s="450" t="s">
        <v>334</v>
      </c>
      <c r="Q4" s="450" t="s">
        <v>335</v>
      </c>
      <c r="R4" s="450" t="s">
        <v>336</v>
      </c>
      <c r="S4" s="450" t="s">
        <v>337</v>
      </c>
      <c r="T4" s="450" t="s">
        <v>338</v>
      </c>
      <c r="U4" s="589"/>
      <c r="V4" s="51" t="s">
        <v>339</v>
      </c>
      <c r="W4" s="51" t="s">
        <v>340</v>
      </c>
      <c r="X4" s="51" t="s">
        <v>341</v>
      </c>
      <c r="Y4" s="51" t="s">
        <v>342</v>
      </c>
      <c r="Z4" s="51" t="s">
        <v>343</v>
      </c>
      <c r="AA4" s="51" t="s">
        <v>344</v>
      </c>
      <c r="AB4" s="51" t="s">
        <v>345</v>
      </c>
      <c r="AC4" s="51" t="s">
        <v>346</v>
      </c>
      <c r="AD4" s="51" t="s">
        <v>347</v>
      </c>
      <c r="AE4" s="51" t="s">
        <v>348</v>
      </c>
      <c r="AF4" s="51" t="s">
        <v>349</v>
      </c>
      <c r="AG4" s="51" t="s">
        <v>350</v>
      </c>
      <c r="AH4" s="51" t="s">
        <v>351</v>
      </c>
      <c r="AI4" s="51" t="s">
        <v>352</v>
      </c>
      <c r="AJ4" s="51" t="s">
        <v>353</v>
      </c>
      <c r="AK4" s="589"/>
      <c r="AL4" s="75" t="s">
        <v>314</v>
      </c>
      <c r="AM4" s="51" t="s">
        <v>315</v>
      </c>
      <c r="AN4" s="394" t="s">
        <v>291</v>
      </c>
      <c r="AO4" s="394" t="s">
        <v>292</v>
      </c>
      <c r="AP4" s="593"/>
      <c r="AQ4" s="350" t="s">
        <v>253</v>
      </c>
      <c r="AR4" s="351" t="s">
        <v>763</v>
      </c>
      <c r="AS4" s="352" t="s">
        <v>255</v>
      </c>
      <c r="AT4" s="351" t="s">
        <v>256</v>
      </c>
      <c r="AU4" s="352" t="s">
        <v>808</v>
      </c>
      <c r="AV4" s="352" t="s">
        <v>257</v>
      </c>
      <c r="AW4" s="344" t="s">
        <v>253</v>
      </c>
      <c r="AX4" s="345" t="s">
        <v>254</v>
      </c>
      <c r="AY4" s="346" t="s">
        <v>255</v>
      </c>
      <c r="AZ4" s="345" t="s">
        <v>256</v>
      </c>
      <c r="BA4" s="346" t="s">
        <v>808</v>
      </c>
      <c r="BB4" s="346" t="s">
        <v>257</v>
      </c>
      <c r="BC4" s="355" t="s">
        <v>254</v>
      </c>
      <c r="BD4" s="589"/>
      <c r="BE4" s="51" t="s">
        <v>249</v>
      </c>
      <c r="BF4" s="51" t="s">
        <v>250</v>
      </c>
      <c r="BG4" s="51" t="s">
        <v>251</v>
      </c>
      <c r="BH4" s="51"/>
      <c r="BI4" s="589"/>
      <c r="BJ4" s="51" t="s">
        <v>244</v>
      </c>
      <c r="BK4" s="51" t="s">
        <v>367</v>
      </c>
      <c r="BL4" s="51" t="s">
        <v>246</v>
      </c>
      <c r="BM4" s="51" t="s">
        <v>247</v>
      </c>
      <c r="BN4" s="51" t="s">
        <v>248</v>
      </c>
      <c r="BO4" s="51" t="s">
        <v>366</v>
      </c>
      <c r="BP4" s="51" t="s">
        <v>258</v>
      </c>
      <c r="BQ4" s="51" t="s">
        <v>259</v>
      </c>
      <c r="BR4" s="51" t="s">
        <v>260</v>
      </c>
      <c r="BS4" s="51" t="s">
        <v>261</v>
      </c>
      <c r="BT4" s="51" t="s">
        <v>312</v>
      </c>
      <c r="BU4" s="51" t="s">
        <v>313</v>
      </c>
      <c r="BV4" s="51" t="s">
        <v>319</v>
      </c>
      <c r="BW4" s="51" t="s">
        <v>318</v>
      </c>
      <c r="BX4" s="589"/>
      <c r="CD4"/>
      <c r="CE4"/>
      <c r="CF4"/>
    </row>
    <row r="5" spans="1:84" ht="15" customHeight="1" x14ac:dyDescent="0.25">
      <c r="A5" s="420" t="s">
        <v>5</v>
      </c>
      <c r="B5" s="420"/>
      <c r="C5" s="420" t="s">
        <v>293</v>
      </c>
      <c r="D5" s="87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69"/>
      <c r="T5" s="1070"/>
      <c r="U5" s="589"/>
      <c r="V5" s="257"/>
      <c r="W5" s="257"/>
      <c r="X5" s="257"/>
      <c r="Y5" s="257"/>
      <c r="Z5" s="257"/>
      <c r="AA5" s="257"/>
      <c r="AB5" s="257"/>
      <c r="AC5" s="257"/>
      <c r="AD5" s="257"/>
      <c r="AE5" s="257"/>
      <c r="AF5" s="257"/>
      <c r="AG5" s="257"/>
      <c r="AH5" s="257"/>
      <c r="AI5" s="257"/>
      <c r="AJ5" s="257"/>
      <c r="AK5" s="591"/>
      <c r="AL5" s="257">
        <f>SUM(AL6:AL49)</f>
        <v>4841370</v>
      </c>
      <c r="AM5" s="70"/>
      <c r="AN5" s="395"/>
      <c r="AO5" s="395"/>
      <c r="AP5" s="593"/>
      <c r="AQ5" s="350"/>
      <c r="AR5" s="351"/>
      <c r="AS5" s="352"/>
      <c r="AT5" s="351"/>
      <c r="AU5" s="352"/>
      <c r="AV5" s="352"/>
      <c r="AW5" s="344"/>
      <c r="AX5" s="345"/>
      <c r="AY5" s="346"/>
      <c r="AZ5" s="345"/>
      <c r="BA5" s="346"/>
      <c r="BB5" s="346"/>
      <c r="BC5" s="355"/>
      <c r="BD5" s="589"/>
      <c r="BE5" s="70"/>
      <c r="BF5" s="70"/>
      <c r="BG5" s="70"/>
      <c r="BH5" s="70"/>
      <c r="BI5" s="58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589"/>
      <c r="CD5" s="46"/>
      <c r="CE5" s="46"/>
      <c r="CF5" s="46"/>
    </row>
    <row r="6" spans="1:84" ht="19.5" customHeight="1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>
        <f>SUM('26:25'!E6)</f>
        <v>0</v>
      </c>
      <c r="F6" s="419">
        <f>SUM('26:25'!F6)</f>
        <v>0</v>
      </c>
      <c r="G6" s="419">
        <f>SUM('26:25'!G6)</f>
        <v>0</v>
      </c>
      <c r="H6" s="419">
        <f>SUM('26:25'!H6)</f>
        <v>0</v>
      </c>
      <c r="I6" s="419">
        <f>SUM('26:25'!I6)</f>
        <v>0</v>
      </c>
      <c r="J6" s="419">
        <f>SUM('26:25'!J6)</f>
        <v>0</v>
      </c>
      <c r="K6" s="419">
        <f>SUM('26:25'!K6)</f>
        <v>0</v>
      </c>
      <c r="L6" s="419">
        <f>SUM('26:25'!L6)</f>
        <v>0</v>
      </c>
      <c r="M6" s="419">
        <f>SUM('26:25'!M6)</f>
        <v>0</v>
      </c>
      <c r="N6" s="419">
        <f>SUM('26:25'!N6)</f>
        <v>0</v>
      </c>
      <c r="O6" s="419">
        <f>SUM('26:25'!O6)</f>
        <v>0</v>
      </c>
      <c r="P6" s="419">
        <f>SUM('26:25'!P6)</f>
        <v>0</v>
      </c>
      <c r="Q6" s="419">
        <f>SUM('26:25'!Q6)</f>
        <v>0</v>
      </c>
      <c r="R6" s="419">
        <f>SUM('26:25'!R6)</f>
        <v>0</v>
      </c>
      <c r="S6" s="419">
        <f>SUM('26:25'!S6)</f>
        <v>0</v>
      </c>
      <c r="T6" s="419">
        <f>SUM('26:25'!T6)</f>
        <v>0</v>
      </c>
      <c r="U6" s="589"/>
      <c r="V6" s="419">
        <f>SUM('26:25'!V6)</f>
        <v>0</v>
      </c>
      <c r="W6" s="419">
        <f>SUM('26:25'!W6)</f>
        <v>0</v>
      </c>
      <c r="X6" s="419">
        <f>SUM('26:25'!X6)</f>
        <v>0</v>
      </c>
      <c r="Y6" s="419">
        <f>SUM('26:25'!Y6)</f>
        <v>0</v>
      </c>
      <c r="Z6" s="419">
        <f>SUM('26:25'!Z6)</f>
        <v>0</v>
      </c>
      <c r="AA6" s="419">
        <f>SUM('26:25'!AA6)</f>
        <v>0</v>
      </c>
      <c r="AB6" s="419">
        <f>SUM('26:25'!AB6)</f>
        <v>0</v>
      </c>
      <c r="AC6" s="419">
        <f>SUM('26:25'!AC6)</f>
        <v>0</v>
      </c>
      <c r="AD6" s="419">
        <f>SUM('26:25'!AD6)</f>
        <v>0</v>
      </c>
      <c r="AE6" s="419">
        <f>SUM('26:25'!AE6)</f>
        <v>0</v>
      </c>
      <c r="AF6" s="419">
        <f>SUM('26:25'!AF6)</f>
        <v>0</v>
      </c>
      <c r="AG6" s="419">
        <f>SUM('26:25'!AG6)</f>
        <v>0</v>
      </c>
      <c r="AH6" s="419">
        <f>SUM('26:25'!AH6)</f>
        <v>0</v>
      </c>
      <c r="AI6" s="419">
        <f>SUM('26:25'!AI6)</f>
        <v>0</v>
      </c>
      <c r="AJ6" s="419">
        <f>SUM('26:25'!AJ6)</f>
        <v>0</v>
      </c>
      <c r="AK6" s="589"/>
      <c r="AL6" s="419">
        <f>SUM('26:25'!AL6)</f>
        <v>0</v>
      </c>
      <c r="AM6" s="419">
        <f>SUM('26:25'!AM6)</f>
        <v>0</v>
      </c>
      <c r="AN6" s="419">
        <f>SUM('26:25'!AN6)</f>
        <v>0</v>
      </c>
      <c r="AO6" s="419">
        <f>SUM('26:25'!AO6)</f>
        <v>0</v>
      </c>
      <c r="AP6" s="593"/>
      <c r="AQ6" s="419">
        <f>SUM('26:25'!AQ6)</f>
        <v>0</v>
      </c>
      <c r="AR6" s="419">
        <f>SUM('26:25'!AR6)</f>
        <v>0</v>
      </c>
      <c r="AS6" s="419">
        <f>SUM('26:25'!AS6)</f>
        <v>0</v>
      </c>
      <c r="AT6" s="419">
        <f>SUM('26:25'!AT6)</f>
        <v>0</v>
      </c>
      <c r="AU6" s="419">
        <f>SUM('26:25'!AU6)</f>
        <v>0</v>
      </c>
      <c r="AV6" s="419">
        <f>SUM('26:25'!AV6)</f>
        <v>0</v>
      </c>
      <c r="AW6" s="419">
        <f>SUM('26:25'!AW6)</f>
        <v>0</v>
      </c>
      <c r="AX6" s="419">
        <f>SUM('26:25'!AX6)</f>
        <v>0</v>
      </c>
      <c r="AY6" s="419">
        <f>SUM('26:25'!AY6)</f>
        <v>0</v>
      </c>
      <c r="AZ6" s="419">
        <f>SUM('26:25'!AZ6)</f>
        <v>0</v>
      </c>
      <c r="BA6" s="419">
        <f>SUM('26:25'!BA6)</f>
        <v>0</v>
      </c>
      <c r="BB6" s="419">
        <f>SUM('26:25'!BB6)</f>
        <v>0</v>
      </c>
      <c r="BC6" s="419">
        <f>SUM('26:25'!BC6)</f>
        <v>0</v>
      </c>
      <c r="BD6" s="589"/>
      <c r="BE6" s="419">
        <f>SUM('26:25'!BE6)</f>
        <v>0</v>
      </c>
      <c r="BF6" s="419">
        <f>SUM('26:25'!BF6)</f>
        <v>0</v>
      </c>
      <c r="BG6" s="419">
        <f>SUM('26:25'!BG6)</f>
        <v>0</v>
      </c>
      <c r="BH6" s="419">
        <f>SUM('26:25'!BH6)</f>
        <v>0</v>
      </c>
      <c r="BI6" s="589"/>
      <c r="BJ6" s="419">
        <f>SUM('26:25'!BJ6)</f>
        <v>0</v>
      </c>
      <c r="BK6" s="419">
        <f>SUM('26:25'!BK6)</f>
        <v>0</v>
      </c>
      <c r="BL6" s="419">
        <f>SUM('26:25'!BL6)</f>
        <v>0</v>
      </c>
      <c r="BM6" s="419">
        <f>SUM('26:25'!BM6)</f>
        <v>0</v>
      </c>
      <c r="BN6" s="419">
        <f>SUM('26:25'!BN6)</f>
        <v>0</v>
      </c>
      <c r="BO6" s="419">
        <f>SUM('26:25'!BO6)</f>
        <v>0</v>
      </c>
      <c r="BP6" s="419">
        <f>SUM('26:25'!BP6)</f>
        <v>0</v>
      </c>
      <c r="BQ6" s="419">
        <f>SUM('26:25'!BQ6)</f>
        <v>0</v>
      </c>
      <c r="BR6" s="419">
        <f>SUM('26:25'!BR6)</f>
        <v>0</v>
      </c>
      <c r="BS6" s="419">
        <f>SUM('26:25'!BS6)</f>
        <v>0</v>
      </c>
      <c r="BT6" s="419">
        <f>SUM('26:25'!BT6)</f>
        <v>0</v>
      </c>
      <c r="BU6" s="419">
        <f>SUM('26:25'!BU6)</f>
        <v>0</v>
      </c>
      <c r="BV6" s="419">
        <f>SUM('26:25'!BV6)</f>
        <v>0</v>
      </c>
      <c r="BW6" s="419">
        <f>SUM('26:25'!BW6)</f>
        <v>0</v>
      </c>
      <c r="BX6" s="595"/>
      <c r="BY6">
        <v>76340</v>
      </c>
      <c r="BZ6">
        <v>61390</v>
      </c>
      <c r="CA6">
        <v>41530</v>
      </c>
      <c r="CD6" s="74"/>
      <c r="CE6" s="74"/>
      <c r="CF6" s="74"/>
    </row>
    <row r="7" spans="1:84" ht="19.5" customHeight="1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>
        <f>SUM('26:25'!E7)</f>
        <v>0</v>
      </c>
      <c r="F7" s="419">
        <f>SUM('26:25'!F7)</f>
        <v>0</v>
      </c>
      <c r="G7" s="419">
        <f>SUM('26:25'!G7)</f>
        <v>0</v>
      </c>
      <c r="H7" s="419">
        <f>SUM('26:25'!H7)</f>
        <v>0</v>
      </c>
      <c r="I7" s="419">
        <f>SUM('26:25'!I7)</f>
        <v>0</v>
      </c>
      <c r="J7" s="419">
        <f>SUM('26:25'!J7)</f>
        <v>0</v>
      </c>
      <c r="K7" s="419">
        <f>SUM('26:25'!K7)</f>
        <v>0</v>
      </c>
      <c r="L7" s="419">
        <f>SUM('26:25'!L7)</f>
        <v>0</v>
      </c>
      <c r="M7" s="419">
        <f>SUM('26:25'!M7)</f>
        <v>0</v>
      </c>
      <c r="N7" s="419">
        <f>SUM('26:25'!N7)</f>
        <v>0</v>
      </c>
      <c r="O7" s="419">
        <f>SUM('26:25'!O7)</f>
        <v>0</v>
      </c>
      <c r="P7" s="419">
        <f>SUM('26:25'!P7)</f>
        <v>0</v>
      </c>
      <c r="Q7" s="419">
        <f>SUM('26:25'!Q7)</f>
        <v>0</v>
      </c>
      <c r="R7" s="419">
        <f>SUM('26:25'!R7)</f>
        <v>0</v>
      </c>
      <c r="S7" s="419">
        <f>SUM('26:25'!S7)</f>
        <v>0</v>
      </c>
      <c r="T7" s="419">
        <f>SUM('26:25'!T7)</f>
        <v>0</v>
      </c>
      <c r="U7" s="589"/>
      <c r="V7" s="419">
        <f>SUM('26:25'!V7)</f>
        <v>0</v>
      </c>
      <c r="W7" s="419">
        <f>SUM('26:25'!W7)</f>
        <v>0</v>
      </c>
      <c r="X7" s="419">
        <f>SUM('26:25'!X7)</f>
        <v>0</v>
      </c>
      <c r="Y7" s="419">
        <f>SUM('26:25'!Y7)</f>
        <v>0</v>
      </c>
      <c r="Z7" s="419">
        <f>SUM('26:25'!Z7)</f>
        <v>0</v>
      </c>
      <c r="AA7" s="419">
        <f>SUM('26:25'!AA7)</f>
        <v>0</v>
      </c>
      <c r="AB7" s="419">
        <f>SUM('26:25'!AB7)</f>
        <v>0</v>
      </c>
      <c r="AC7" s="419">
        <f>SUM('26:25'!AC7)</f>
        <v>0</v>
      </c>
      <c r="AD7" s="419">
        <f>SUM('26:25'!AD7)</f>
        <v>0</v>
      </c>
      <c r="AE7" s="419">
        <f>SUM('26:25'!AE7)</f>
        <v>0</v>
      </c>
      <c r="AF7" s="419">
        <f>SUM('26:25'!AF7)</f>
        <v>0</v>
      </c>
      <c r="AG7" s="419">
        <f>SUM('26:25'!AG7)</f>
        <v>0</v>
      </c>
      <c r="AH7" s="419">
        <f>SUM('26:25'!AH7)</f>
        <v>0</v>
      </c>
      <c r="AI7" s="419">
        <f>SUM('26:25'!AI7)</f>
        <v>0</v>
      </c>
      <c r="AJ7" s="419">
        <f>SUM('26:25'!AJ7)</f>
        <v>0</v>
      </c>
      <c r="AK7" s="589"/>
      <c r="AL7" s="419">
        <f>SUM('26:25'!AL7)</f>
        <v>512550</v>
      </c>
      <c r="AM7" s="419">
        <f>SUM('26:25'!AM7)</f>
        <v>129015.55555555556</v>
      </c>
      <c r="AN7" s="419">
        <f>SUM('26:25'!AN7)</f>
        <v>0</v>
      </c>
      <c r="AO7" s="419">
        <f>SUM('26:25'!AO7)</f>
        <v>132160</v>
      </c>
      <c r="AP7" s="593"/>
      <c r="AQ7" s="419">
        <f>SUM('26:25'!AQ7)</f>
        <v>0</v>
      </c>
      <c r="AR7" s="419">
        <f>SUM('26:25'!AR7)</f>
        <v>0</v>
      </c>
      <c r="AS7" s="419">
        <f>SUM('26:25'!AS7)</f>
        <v>0</v>
      </c>
      <c r="AT7" s="419">
        <f>SUM('26:25'!AT7)</f>
        <v>0</v>
      </c>
      <c r="AU7" s="419">
        <f>SUM('26:25'!AU7)</f>
        <v>0</v>
      </c>
      <c r="AV7" s="419">
        <f>SUM('26:25'!AV7)</f>
        <v>0</v>
      </c>
      <c r="AW7" s="419">
        <f>SUM('26:25'!AW7)</f>
        <v>0</v>
      </c>
      <c r="AX7" s="419">
        <f>SUM('26:25'!AX7)</f>
        <v>0</v>
      </c>
      <c r="AY7" s="419">
        <f>SUM('26:25'!AY7)</f>
        <v>0</v>
      </c>
      <c r="AZ7" s="419">
        <f>SUM('26:25'!AZ7)</f>
        <v>0</v>
      </c>
      <c r="BA7" s="419">
        <f>SUM('26:25'!BA7)</f>
        <v>0</v>
      </c>
      <c r="BB7" s="419">
        <f>SUM('26:25'!BB7)</f>
        <v>0</v>
      </c>
      <c r="BC7" s="419">
        <f>SUM('26:25'!BC7)</f>
        <v>0</v>
      </c>
      <c r="BD7" s="589"/>
      <c r="BE7" s="419">
        <f>SUM('26:25'!BE7)</f>
        <v>0</v>
      </c>
      <c r="BF7" s="419">
        <f>SUM('26:25'!BF7)</f>
        <v>0</v>
      </c>
      <c r="BG7" s="419">
        <f>SUM('26:25'!BG7)</f>
        <v>0</v>
      </c>
      <c r="BH7" s="419">
        <f>SUM('26:25'!BH7)</f>
        <v>0</v>
      </c>
      <c r="BI7" s="589"/>
      <c r="BJ7" s="419">
        <f>SUM('26:25'!BJ7)</f>
        <v>0</v>
      </c>
      <c r="BK7" s="419">
        <f>SUM('26:25'!BK7)</f>
        <v>480</v>
      </c>
      <c r="BL7" s="419">
        <f>SUM('26:25'!BL7)</f>
        <v>0</v>
      </c>
      <c r="BM7" s="419">
        <f>SUM('26:25'!BM7)</f>
        <v>0</v>
      </c>
      <c r="BN7" s="419">
        <f>SUM('26:25'!BN7)</f>
        <v>0</v>
      </c>
      <c r="BO7" s="419">
        <f>SUM('26:25'!BO7)</f>
        <v>0</v>
      </c>
      <c r="BP7" s="419">
        <f>SUM('26:25'!BP7)</f>
        <v>0</v>
      </c>
      <c r="BQ7" s="419">
        <f>SUM('26:25'!BQ7)</f>
        <v>0</v>
      </c>
      <c r="BR7" s="419">
        <f>SUM('26:25'!BR7)</f>
        <v>75</v>
      </c>
      <c r="BS7" s="419">
        <f>SUM('26:25'!BS7)</f>
        <v>0</v>
      </c>
      <c r="BT7" s="419">
        <f>SUM('26:25'!BT7)</f>
        <v>170</v>
      </c>
      <c r="BU7" s="419">
        <f>SUM('26:25'!BU7)</f>
        <v>0</v>
      </c>
      <c r="BV7" s="419">
        <f>SUM('26:25'!BV7)</f>
        <v>0</v>
      </c>
      <c r="BW7" s="419">
        <f>SUM('26:25'!BW7)</f>
        <v>0</v>
      </c>
      <c r="BX7" s="595"/>
      <c r="BY7">
        <v>94800</v>
      </c>
      <c r="BZ7">
        <v>46270</v>
      </c>
      <c r="CA7">
        <v>32030</v>
      </c>
      <c r="CD7" s="74"/>
      <c r="CE7" s="74"/>
      <c r="CF7" s="74"/>
    </row>
    <row r="8" spans="1:84" ht="19.5" customHeight="1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>
        <f>SUM('26:25'!E8)</f>
        <v>0</v>
      </c>
      <c r="F8" s="419">
        <f>SUM('26:25'!F8)</f>
        <v>0</v>
      </c>
      <c r="G8" s="419">
        <f>SUM('26:25'!G8)</f>
        <v>0</v>
      </c>
      <c r="H8" s="419">
        <f>SUM('26:25'!H8)</f>
        <v>0</v>
      </c>
      <c r="I8" s="419">
        <f>SUM('26:25'!I8)</f>
        <v>0</v>
      </c>
      <c r="J8" s="419">
        <f>SUM('26:25'!J8)</f>
        <v>0</v>
      </c>
      <c r="K8" s="419">
        <f>SUM('26:25'!K8)</f>
        <v>0</v>
      </c>
      <c r="L8" s="419">
        <f>SUM('26:25'!L8)</f>
        <v>0</v>
      </c>
      <c r="M8" s="419">
        <f>SUM('26:25'!M8)</f>
        <v>0</v>
      </c>
      <c r="N8" s="419">
        <f>SUM('26:25'!N8)</f>
        <v>0</v>
      </c>
      <c r="O8" s="419">
        <f>SUM('26:25'!O8)</f>
        <v>0</v>
      </c>
      <c r="P8" s="419">
        <f>SUM('26:25'!P8)</f>
        <v>0</v>
      </c>
      <c r="Q8" s="419">
        <f>SUM('26:25'!Q8)</f>
        <v>0</v>
      </c>
      <c r="R8" s="419">
        <f>SUM('26:25'!R8)</f>
        <v>0</v>
      </c>
      <c r="S8" s="419">
        <f>SUM('26:25'!S8)</f>
        <v>0</v>
      </c>
      <c r="T8" s="419">
        <f>SUM('26:25'!T8)</f>
        <v>0</v>
      </c>
      <c r="U8" s="589"/>
      <c r="V8" s="419">
        <f>SUM('26:25'!V8)</f>
        <v>0</v>
      </c>
      <c r="W8" s="419">
        <f>SUM('26:25'!W8)</f>
        <v>0</v>
      </c>
      <c r="X8" s="419">
        <f>SUM('26:25'!X8)</f>
        <v>0</v>
      </c>
      <c r="Y8" s="419">
        <f>SUM('26:25'!Y8)</f>
        <v>0</v>
      </c>
      <c r="Z8" s="419">
        <f>SUM('26:25'!Z8)</f>
        <v>0</v>
      </c>
      <c r="AA8" s="419">
        <f>SUM('26:25'!AA8)</f>
        <v>0</v>
      </c>
      <c r="AB8" s="419">
        <f>SUM('26:25'!AB8)</f>
        <v>0</v>
      </c>
      <c r="AC8" s="419">
        <f>SUM('26:25'!AC8)</f>
        <v>0</v>
      </c>
      <c r="AD8" s="419">
        <f>SUM('26:25'!AD8)</f>
        <v>0</v>
      </c>
      <c r="AE8" s="419">
        <f>SUM('26:25'!AE8)</f>
        <v>0</v>
      </c>
      <c r="AF8" s="419">
        <f>SUM('26:25'!AF8)</f>
        <v>0</v>
      </c>
      <c r="AG8" s="419">
        <f>SUM('26:25'!AG8)</f>
        <v>0</v>
      </c>
      <c r="AH8" s="419">
        <f>SUM('26:25'!AH8)</f>
        <v>0</v>
      </c>
      <c r="AI8" s="419">
        <f>SUM('26:25'!AI8)</f>
        <v>0</v>
      </c>
      <c r="AJ8" s="419">
        <f>SUM('26:25'!AJ8)</f>
        <v>0</v>
      </c>
      <c r="AK8" s="589"/>
      <c r="AL8" s="419">
        <f>SUM('26:25'!AL8)</f>
        <v>0</v>
      </c>
      <c r="AM8" s="419">
        <f>SUM('26:25'!AM8)</f>
        <v>0</v>
      </c>
      <c r="AN8" s="419">
        <f>SUM('26:25'!AN8)</f>
        <v>0</v>
      </c>
      <c r="AO8" s="419">
        <f>SUM('26:25'!AO8)</f>
        <v>0</v>
      </c>
      <c r="AP8" s="593"/>
      <c r="AQ8" s="419">
        <f>SUM('26:25'!AQ8)</f>
        <v>0</v>
      </c>
      <c r="AR8" s="419">
        <f>SUM('26:25'!AR8)</f>
        <v>0</v>
      </c>
      <c r="AS8" s="419">
        <f>SUM('26:25'!AS8)</f>
        <v>0</v>
      </c>
      <c r="AT8" s="419">
        <f>SUM('26:25'!AT8)</f>
        <v>0</v>
      </c>
      <c r="AU8" s="419">
        <f>SUM('26:25'!AU8)</f>
        <v>0</v>
      </c>
      <c r="AV8" s="419">
        <f>SUM('26:25'!AV8)</f>
        <v>0</v>
      </c>
      <c r="AW8" s="419">
        <f>SUM('26:25'!AW8)</f>
        <v>0</v>
      </c>
      <c r="AX8" s="419">
        <f>SUM('26:25'!AX8)</f>
        <v>0</v>
      </c>
      <c r="AY8" s="419">
        <f>SUM('26:25'!AY8)</f>
        <v>0</v>
      </c>
      <c r="AZ8" s="419">
        <f>SUM('26:25'!AZ8)</f>
        <v>0</v>
      </c>
      <c r="BA8" s="419">
        <f>SUM('26:25'!BA8)</f>
        <v>0</v>
      </c>
      <c r="BB8" s="419">
        <f>SUM('26:25'!BB8)</f>
        <v>0</v>
      </c>
      <c r="BC8" s="419">
        <f>SUM('26:25'!BC8)</f>
        <v>0</v>
      </c>
      <c r="BD8" s="589"/>
      <c r="BE8" s="419">
        <f>SUM('26:25'!BE8)</f>
        <v>0</v>
      </c>
      <c r="BF8" s="419">
        <f>SUM('26:25'!BF8)</f>
        <v>0</v>
      </c>
      <c r="BG8" s="419">
        <f>SUM('26:25'!BG8)</f>
        <v>0</v>
      </c>
      <c r="BH8" s="419">
        <f>SUM('26:25'!BH8)</f>
        <v>0</v>
      </c>
      <c r="BI8" s="589"/>
      <c r="BJ8" s="419">
        <f>SUM('26:25'!BJ8)</f>
        <v>0</v>
      </c>
      <c r="BK8" s="419">
        <f>SUM('26:25'!BK8)</f>
        <v>0</v>
      </c>
      <c r="BL8" s="419">
        <f>SUM('26:25'!BL8)</f>
        <v>0</v>
      </c>
      <c r="BM8" s="419">
        <f>SUM('26:25'!BM8)</f>
        <v>0</v>
      </c>
      <c r="BN8" s="419">
        <f>SUM('26:25'!BN8)</f>
        <v>0</v>
      </c>
      <c r="BO8" s="419">
        <f>SUM('26:25'!BO8)</f>
        <v>0</v>
      </c>
      <c r="BP8" s="419">
        <f>SUM('26:25'!BP8)</f>
        <v>0</v>
      </c>
      <c r="BQ8" s="419">
        <f>SUM('26:25'!BQ8)</f>
        <v>0</v>
      </c>
      <c r="BR8" s="419">
        <f>SUM('26:25'!BR8)</f>
        <v>0</v>
      </c>
      <c r="BS8" s="419">
        <f>SUM('26:25'!BS8)</f>
        <v>0</v>
      </c>
      <c r="BT8" s="419">
        <f>SUM('26:25'!BT8)</f>
        <v>0</v>
      </c>
      <c r="BU8" s="419">
        <f>SUM('26:25'!BU8)</f>
        <v>0</v>
      </c>
      <c r="BV8" s="419">
        <f>SUM('26:25'!BV8)</f>
        <v>0</v>
      </c>
      <c r="BW8" s="419">
        <f>SUM('26:25'!BW8)</f>
        <v>0</v>
      </c>
      <c r="BX8" s="595"/>
      <c r="BY8">
        <v>85910</v>
      </c>
      <c r="BZ8">
        <v>38510</v>
      </c>
      <c r="CA8">
        <v>11940</v>
      </c>
      <c r="CD8" s="74"/>
      <c r="CE8" s="74"/>
      <c r="CF8" s="74"/>
    </row>
    <row r="9" spans="1:84" ht="19.5" customHeight="1" x14ac:dyDescent="0.25">
      <c r="A9" s="418">
        <f>'BANG LUONG 1'!A10</f>
        <v>4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>
        <f>SUM('26:25'!E9)</f>
        <v>0</v>
      </c>
      <c r="F9" s="419">
        <f>SUM('26:25'!F9)</f>
        <v>0</v>
      </c>
      <c r="G9" s="419">
        <f>SUM('26:25'!G9)</f>
        <v>0</v>
      </c>
      <c r="H9" s="419">
        <f>SUM('26:25'!H9)</f>
        <v>0</v>
      </c>
      <c r="I9" s="419">
        <f>SUM('26:25'!I9)</f>
        <v>0</v>
      </c>
      <c r="J9" s="419">
        <f>SUM('26:25'!J9)</f>
        <v>0</v>
      </c>
      <c r="K9" s="419">
        <f>SUM('26:25'!K9)</f>
        <v>0</v>
      </c>
      <c r="L9" s="419">
        <f>SUM('26:25'!L9)</f>
        <v>0</v>
      </c>
      <c r="M9" s="419">
        <f>SUM('26:25'!M9)</f>
        <v>0</v>
      </c>
      <c r="N9" s="419">
        <f>SUM('26:25'!N9)</f>
        <v>0</v>
      </c>
      <c r="O9" s="419">
        <f>SUM('26:25'!O9)</f>
        <v>0</v>
      </c>
      <c r="P9" s="419">
        <f>SUM('26:25'!P9)</f>
        <v>0</v>
      </c>
      <c r="Q9" s="419">
        <f>SUM('26:25'!Q9)</f>
        <v>0</v>
      </c>
      <c r="R9" s="419">
        <f>SUM('26:25'!R9)</f>
        <v>0</v>
      </c>
      <c r="S9" s="419">
        <f>SUM('26:25'!S9)</f>
        <v>0</v>
      </c>
      <c r="T9" s="419">
        <f>SUM('26:25'!T9)</f>
        <v>0</v>
      </c>
      <c r="U9" s="589"/>
      <c r="V9" s="419">
        <f>SUM('26:25'!V9)</f>
        <v>0</v>
      </c>
      <c r="W9" s="419">
        <f>SUM('26:25'!W9)</f>
        <v>0</v>
      </c>
      <c r="X9" s="419">
        <f>SUM('26:25'!X9)</f>
        <v>0</v>
      </c>
      <c r="Y9" s="419">
        <f>SUM('26:25'!Y9)</f>
        <v>0</v>
      </c>
      <c r="Z9" s="419">
        <f>SUM('26:25'!Z9)</f>
        <v>0</v>
      </c>
      <c r="AA9" s="419">
        <f>SUM('26:25'!AA9)</f>
        <v>0</v>
      </c>
      <c r="AB9" s="419">
        <f>SUM('26:25'!AB9)</f>
        <v>0</v>
      </c>
      <c r="AC9" s="419">
        <f>SUM('26:25'!AC9)</f>
        <v>0</v>
      </c>
      <c r="AD9" s="419">
        <f>SUM('26:25'!AD9)</f>
        <v>0</v>
      </c>
      <c r="AE9" s="419">
        <f>SUM('26:25'!AE9)</f>
        <v>0</v>
      </c>
      <c r="AF9" s="419">
        <f>SUM('26:25'!AF9)</f>
        <v>0</v>
      </c>
      <c r="AG9" s="419">
        <f>SUM('26:25'!AG9)</f>
        <v>0</v>
      </c>
      <c r="AH9" s="419">
        <f>SUM('26:25'!AH9)</f>
        <v>0</v>
      </c>
      <c r="AI9" s="419">
        <f>SUM('26:25'!AI9)</f>
        <v>0</v>
      </c>
      <c r="AJ9" s="419">
        <f>SUM('26:25'!AJ9)</f>
        <v>0</v>
      </c>
      <c r="AK9" s="589"/>
      <c r="AL9" s="419">
        <f>SUM('26:25'!AL9)</f>
        <v>542290</v>
      </c>
      <c r="AM9" s="419">
        <f>SUM('26:25'!AM9)</f>
        <v>138035.55555555556</v>
      </c>
      <c r="AN9" s="419">
        <f>SUM('26:25'!AN9)</f>
        <v>0</v>
      </c>
      <c r="AO9" s="419">
        <f>SUM('26:25'!AO9)</f>
        <v>133570</v>
      </c>
      <c r="AP9" s="593"/>
      <c r="AQ9" s="419">
        <f>SUM('26:25'!AQ9)</f>
        <v>0</v>
      </c>
      <c r="AR9" s="419">
        <f>SUM('26:25'!AR9)</f>
        <v>0</v>
      </c>
      <c r="AS9" s="419">
        <f>SUM('26:25'!AS9)</f>
        <v>0</v>
      </c>
      <c r="AT9" s="419">
        <f>SUM('26:25'!AT9)</f>
        <v>0</v>
      </c>
      <c r="AU9" s="419">
        <f>SUM('26:25'!AU9)</f>
        <v>0</v>
      </c>
      <c r="AV9" s="419">
        <f>SUM('26:25'!AV9)</f>
        <v>0</v>
      </c>
      <c r="AW9" s="419">
        <f>SUM('26:25'!AW9)</f>
        <v>0</v>
      </c>
      <c r="AX9" s="419">
        <f>SUM('26:25'!AX9)</f>
        <v>0</v>
      </c>
      <c r="AY9" s="419">
        <f>SUM('26:25'!AY9)</f>
        <v>0</v>
      </c>
      <c r="AZ9" s="419">
        <f>SUM('26:25'!AZ9)</f>
        <v>0</v>
      </c>
      <c r="BA9" s="419">
        <f>SUM('26:25'!BA9)</f>
        <v>0</v>
      </c>
      <c r="BB9" s="419">
        <f>SUM('26:25'!BB9)</f>
        <v>0</v>
      </c>
      <c r="BC9" s="419">
        <f>SUM('26:25'!BC9)</f>
        <v>0</v>
      </c>
      <c r="BD9" s="589"/>
      <c r="BE9" s="419">
        <f>SUM('26:25'!BE9)</f>
        <v>0</v>
      </c>
      <c r="BF9" s="419">
        <f>SUM('26:25'!BF9)</f>
        <v>0</v>
      </c>
      <c r="BG9" s="419">
        <f>SUM('26:25'!BG9)</f>
        <v>0</v>
      </c>
      <c r="BH9" s="419">
        <f>SUM('26:25'!BH9)</f>
        <v>0</v>
      </c>
      <c r="BI9" s="589"/>
      <c r="BJ9" s="419">
        <f>SUM('26:25'!BJ9)</f>
        <v>0</v>
      </c>
      <c r="BK9" s="419">
        <f>SUM('26:25'!BK9)</f>
        <v>60</v>
      </c>
      <c r="BL9" s="419">
        <f>SUM('26:25'!BL9)</f>
        <v>0</v>
      </c>
      <c r="BM9" s="419">
        <f>SUM('26:25'!BM9)</f>
        <v>0</v>
      </c>
      <c r="BN9" s="419">
        <f>SUM('26:25'!BN9)</f>
        <v>0</v>
      </c>
      <c r="BO9" s="419">
        <f>SUM('26:25'!BO9)</f>
        <v>0</v>
      </c>
      <c r="BP9" s="419">
        <f>SUM('26:25'!BP9)</f>
        <v>0</v>
      </c>
      <c r="BQ9" s="419">
        <f>SUM('26:25'!BQ9)</f>
        <v>0</v>
      </c>
      <c r="BR9" s="419">
        <f>SUM('26:25'!BR9)</f>
        <v>75</v>
      </c>
      <c r="BS9" s="419">
        <f>SUM('26:25'!BS9)</f>
        <v>0</v>
      </c>
      <c r="BT9" s="419">
        <f>SUM('26:25'!BT9)</f>
        <v>170</v>
      </c>
      <c r="BU9" s="419">
        <f>SUM('26:25'!BU9)</f>
        <v>0</v>
      </c>
      <c r="BV9" s="419">
        <f>SUM('26:25'!BV9)</f>
        <v>0</v>
      </c>
      <c r="BW9" s="419">
        <f>SUM('26:25'!BW9)</f>
        <v>0</v>
      </c>
      <c r="BX9" s="595"/>
      <c r="BY9">
        <v>139440</v>
      </c>
      <c r="BZ9">
        <v>59770</v>
      </c>
      <c r="CD9" s="74"/>
      <c r="CE9" s="74"/>
      <c r="CF9" s="74"/>
    </row>
    <row r="10" spans="1:84" ht="19.5" customHeight="1" x14ac:dyDescent="0.25">
      <c r="A10" s="418">
        <f>'BANG LUONG 1'!A11</f>
        <v>5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>
        <f>SUM('26:25'!E10)</f>
        <v>0</v>
      </c>
      <c r="F10" s="419">
        <f>SUM('26:25'!F10)</f>
        <v>0</v>
      </c>
      <c r="G10" s="419">
        <f>SUM('26:25'!G10)</f>
        <v>0</v>
      </c>
      <c r="H10" s="419">
        <f>SUM('26:25'!H10)</f>
        <v>0</v>
      </c>
      <c r="I10" s="419">
        <f>SUM('26:25'!I10)</f>
        <v>0</v>
      </c>
      <c r="J10" s="419">
        <f>SUM('26:25'!J10)</f>
        <v>0</v>
      </c>
      <c r="K10" s="419">
        <f>SUM('26:25'!K10)</f>
        <v>0</v>
      </c>
      <c r="L10" s="419">
        <f>SUM('26:25'!L10)</f>
        <v>0</v>
      </c>
      <c r="M10" s="419">
        <f>SUM('26:25'!M10)</f>
        <v>0</v>
      </c>
      <c r="N10" s="419">
        <f>SUM('26:25'!N10)</f>
        <v>0</v>
      </c>
      <c r="O10" s="419">
        <f>SUM('26:25'!O10)</f>
        <v>0</v>
      </c>
      <c r="P10" s="419">
        <f>SUM('26:25'!P10)</f>
        <v>0</v>
      </c>
      <c r="Q10" s="419">
        <f>SUM('26:25'!Q10)</f>
        <v>0</v>
      </c>
      <c r="R10" s="419">
        <f>SUM('26:25'!R10)</f>
        <v>0</v>
      </c>
      <c r="S10" s="419">
        <f>SUM('26:25'!S10)</f>
        <v>0</v>
      </c>
      <c r="T10" s="419">
        <f>SUM('26:25'!T10)</f>
        <v>0</v>
      </c>
      <c r="U10" s="589"/>
      <c r="V10" s="419">
        <f>SUM('26:25'!V10)</f>
        <v>0</v>
      </c>
      <c r="W10" s="419">
        <f>SUM('26:25'!W10)</f>
        <v>0</v>
      </c>
      <c r="X10" s="419">
        <f>SUM('26:25'!X10)</f>
        <v>0</v>
      </c>
      <c r="Y10" s="419">
        <f>SUM('26:25'!Y10)</f>
        <v>0</v>
      </c>
      <c r="Z10" s="419">
        <f>SUM('26:25'!Z10)</f>
        <v>0</v>
      </c>
      <c r="AA10" s="419">
        <f>SUM('26:25'!AA10)</f>
        <v>0</v>
      </c>
      <c r="AB10" s="419">
        <f>SUM('26:25'!AB10)</f>
        <v>0</v>
      </c>
      <c r="AC10" s="419">
        <f>SUM('26:25'!AC10)</f>
        <v>0</v>
      </c>
      <c r="AD10" s="419">
        <f>SUM('26:25'!AD10)</f>
        <v>0</v>
      </c>
      <c r="AE10" s="419">
        <f>SUM('26:25'!AE10)</f>
        <v>0</v>
      </c>
      <c r="AF10" s="419">
        <f>SUM('26:25'!AF10)</f>
        <v>0</v>
      </c>
      <c r="AG10" s="419">
        <f>SUM('26:25'!AG10)</f>
        <v>0</v>
      </c>
      <c r="AH10" s="419">
        <f>SUM('26:25'!AH10)</f>
        <v>0</v>
      </c>
      <c r="AI10" s="419">
        <f>SUM('26:25'!AI10)</f>
        <v>0</v>
      </c>
      <c r="AJ10" s="419">
        <f>SUM('26:25'!AJ10)</f>
        <v>0</v>
      </c>
      <c r="AK10" s="589"/>
      <c r="AL10" s="419">
        <f>SUM('26:25'!AL10)</f>
        <v>500170</v>
      </c>
      <c r="AM10" s="419">
        <f>SUM('26:25'!AM10)</f>
        <v>127195.55555555556</v>
      </c>
      <c r="AN10" s="419">
        <f>SUM('26:25'!AN10)</f>
        <v>0</v>
      </c>
      <c r="AO10" s="419">
        <f>SUM('26:25'!AO10)</f>
        <v>170950</v>
      </c>
      <c r="AP10" s="593"/>
      <c r="AQ10" s="419">
        <f>SUM('26:25'!AQ10)</f>
        <v>0</v>
      </c>
      <c r="AR10" s="419">
        <f>SUM('26:25'!AR10)</f>
        <v>0</v>
      </c>
      <c r="AS10" s="419">
        <f>SUM('26:25'!AS10)</f>
        <v>0</v>
      </c>
      <c r="AT10" s="419">
        <f>SUM('26:25'!AT10)</f>
        <v>0</v>
      </c>
      <c r="AU10" s="419">
        <f>SUM('26:25'!AU10)</f>
        <v>0</v>
      </c>
      <c r="AV10" s="419">
        <f>SUM('26:25'!AV10)</f>
        <v>0</v>
      </c>
      <c r="AW10" s="419">
        <f>SUM('26:25'!AW10)</f>
        <v>0</v>
      </c>
      <c r="AX10" s="419">
        <f>SUM('26:25'!AX10)</f>
        <v>0</v>
      </c>
      <c r="AY10" s="419">
        <f>SUM('26:25'!AY10)</f>
        <v>0</v>
      </c>
      <c r="AZ10" s="419">
        <f>SUM('26:25'!AZ10)</f>
        <v>0</v>
      </c>
      <c r="BA10" s="419">
        <f>SUM('26:25'!BA10)</f>
        <v>0</v>
      </c>
      <c r="BB10" s="419">
        <f>SUM('26:25'!BB10)</f>
        <v>0</v>
      </c>
      <c r="BC10" s="419">
        <f>SUM('26:25'!BC10)</f>
        <v>0</v>
      </c>
      <c r="BD10" s="589"/>
      <c r="BE10" s="419">
        <f>SUM('26:25'!BE10)</f>
        <v>0</v>
      </c>
      <c r="BF10" s="419">
        <f>SUM('26:25'!BF10)</f>
        <v>0</v>
      </c>
      <c r="BG10" s="419">
        <f>SUM('26:25'!BG10)</f>
        <v>0</v>
      </c>
      <c r="BH10" s="419">
        <f>SUM('26:25'!BH10)</f>
        <v>0</v>
      </c>
      <c r="BI10" s="589"/>
      <c r="BJ10" s="419">
        <f>SUM('26:25'!BJ10)</f>
        <v>0</v>
      </c>
      <c r="BK10" s="419">
        <f>SUM('26:25'!BK10)</f>
        <v>0</v>
      </c>
      <c r="BL10" s="419">
        <f>SUM('26:25'!BL10)</f>
        <v>0</v>
      </c>
      <c r="BM10" s="419">
        <f>SUM('26:25'!BM10)</f>
        <v>0</v>
      </c>
      <c r="BN10" s="419">
        <f>SUM('26:25'!BN10)</f>
        <v>0</v>
      </c>
      <c r="BO10" s="419">
        <f>SUM('26:25'!BO10)</f>
        <v>0</v>
      </c>
      <c r="BP10" s="419">
        <f>SUM('26:25'!BP10)</f>
        <v>0</v>
      </c>
      <c r="BQ10" s="419">
        <f>SUM('26:25'!BQ10)</f>
        <v>0</v>
      </c>
      <c r="BR10" s="419">
        <f>SUM('26:25'!BR10)</f>
        <v>0</v>
      </c>
      <c r="BS10" s="419">
        <f>SUM('26:25'!BS10)</f>
        <v>0</v>
      </c>
      <c r="BT10" s="419">
        <f>SUM('26:25'!BT10)</f>
        <v>120</v>
      </c>
      <c r="BU10" s="419">
        <f>SUM('26:25'!BU10)</f>
        <v>0</v>
      </c>
      <c r="BV10" s="419">
        <f>SUM('26:25'!BV10)</f>
        <v>0</v>
      </c>
      <c r="BW10" s="419">
        <f>SUM('26:25'!BW10)</f>
        <v>0</v>
      </c>
      <c r="BX10" s="595"/>
      <c r="BY10">
        <v>65940</v>
      </c>
      <c r="BZ10">
        <v>65790</v>
      </c>
      <c r="CD10" s="74"/>
      <c r="CE10" s="74"/>
      <c r="CF10" s="74"/>
    </row>
    <row r="11" spans="1:84" ht="19.5" customHeight="1" x14ac:dyDescent="0.25">
      <c r="A11" s="418">
        <f>'BANG LUONG 1'!A12</f>
        <v>6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>
        <f>SUM('26:25'!E11)</f>
        <v>0</v>
      </c>
      <c r="F11" s="419">
        <f>SUM('26:25'!F11)</f>
        <v>0</v>
      </c>
      <c r="G11" s="419">
        <f>SUM('26:25'!G11)</f>
        <v>0</v>
      </c>
      <c r="H11" s="419">
        <f>SUM('26:25'!H11)</f>
        <v>0</v>
      </c>
      <c r="I11" s="419">
        <f>SUM('26:25'!I11)</f>
        <v>0</v>
      </c>
      <c r="J11" s="419">
        <f>SUM('26:25'!J11)</f>
        <v>0</v>
      </c>
      <c r="K11" s="419">
        <f>SUM('26:25'!K11)</f>
        <v>0</v>
      </c>
      <c r="L11" s="419">
        <f>SUM('26:25'!L11)</f>
        <v>0</v>
      </c>
      <c r="M11" s="419">
        <f>SUM('26:25'!M11)</f>
        <v>0</v>
      </c>
      <c r="N11" s="419">
        <f>SUM('26:25'!N11)</f>
        <v>0</v>
      </c>
      <c r="O11" s="419">
        <f>SUM('26:25'!O11)</f>
        <v>0</v>
      </c>
      <c r="P11" s="419">
        <f>SUM('26:25'!P11)</f>
        <v>0</v>
      </c>
      <c r="Q11" s="419">
        <f>SUM('26:25'!Q11)</f>
        <v>0</v>
      </c>
      <c r="R11" s="419">
        <f>SUM('26:25'!R11)</f>
        <v>0</v>
      </c>
      <c r="S11" s="419">
        <f>SUM('26:25'!S11)</f>
        <v>0</v>
      </c>
      <c r="T11" s="419">
        <f>SUM('26:25'!T11)</f>
        <v>0</v>
      </c>
      <c r="U11" s="589"/>
      <c r="V11" s="419">
        <f>SUM('26:25'!V11)</f>
        <v>0</v>
      </c>
      <c r="W11" s="419">
        <f>SUM('26:25'!W11)</f>
        <v>0</v>
      </c>
      <c r="X11" s="419">
        <f>SUM('26:25'!X11)</f>
        <v>0</v>
      </c>
      <c r="Y11" s="419">
        <f>SUM('26:25'!Y11)</f>
        <v>0</v>
      </c>
      <c r="Z11" s="419">
        <f>SUM('26:25'!Z11)</f>
        <v>0</v>
      </c>
      <c r="AA11" s="419">
        <f>SUM('26:25'!AA11)</f>
        <v>0</v>
      </c>
      <c r="AB11" s="419">
        <f>SUM('26:25'!AB11)</f>
        <v>0</v>
      </c>
      <c r="AC11" s="419">
        <f>SUM('26:25'!AC11)</f>
        <v>0</v>
      </c>
      <c r="AD11" s="419">
        <f>SUM('26:25'!AD11)</f>
        <v>0</v>
      </c>
      <c r="AE11" s="419">
        <f>SUM('26:25'!AE11)</f>
        <v>0</v>
      </c>
      <c r="AF11" s="419">
        <f>SUM('26:25'!AF11)</f>
        <v>0</v>
      </c>
      <c r="AG11" s="419">
        <f>SUM('26:25'!AG11)</f>
        <v>0</v>
      </c>
      <c r="AH11" s="419">
        <f>SUM('26:25'!AH11)</f>
        <v>0</v>
      </c>
      <c r="AI11" s="419">
        <f>SUM('26:25'!AI11)</f>
        <v>0</v>
      </c>
      <c r="AJ11" s="419">
        <f>SUM('26:25'!AJ11)</f>
        <v>0</v>
      </c>
      <c r="AK11" s="589"/>
      <c r="AL11" s="419">
        <f>SUM('26:25'!AL11)</f>
        <v>531370</v>
      </c>
      <c r="AM11" s="419">
        <f>SUM('26:25'!AM11)</f>
        <v>120485.55555555556</v>
      </c>
      <c r="AN11" s="419">
        <f>SUM('26:25'!AN11)</f>
        <v>0</v>
      </c>
      <c r="AO11" s="419">
        <f>SUM('26:25'!AO11)</f>
        <v>131980</v>
      </c>
      <c r="AP11" s="593"/>
      <c r="AQ11" s="419">
        <f>SUM('26:25'!AQ11)</f>
        <v>0</v>
      </c>
      <c r="AR11" s="419">
        <f>SUM('26:25'!AR11)</f>
        <v>0</v>
      </c>
      <c r="AS11" s="419">
        <f>SUM('26:25'!AS11)</f>
        <v>0</v>
      </c>
      <c r="AT11" s="419">
        <f>SUM('26:25'!AT11)</f>
        <v>0</v>
      </c>
      <c r="AU11" s="419">
        <f>SUM('26:25'!AU11)</f>
        <v>0</v>
      </c>
      <c r="AV11" s="419">
        <f>SUM('26:25'!AV11)</f>
        <v>0</v>
      </c>
      <c r="AW11" s="419">
        <f>SUM('26:25'!AW11)</f>
        <v>0</v>
      </c>
      <c r="AX11" s="419">
        <f>SUM('26:25'!AX11)</f>
        <v>0</v>
      </c>
      <c r="AY11" s="419">
        <f>SUM('26:25'!AY11)</f>
        <v>0</v>
      </c>
      <c r="AZ11" s="419">
        <f>SUM('26:25'!AZ11)</f>
        <v>0</v>
      </c>
      <c r="BA11" s="419">
        <f>SUM('26:25'!BA11)</f>
        <v>0</v>
      </c>
      <c r="BB11" s="419">
        <f>SUM('26:25'!BB11)</f>
        <v>0</v>
      </c>
      <c r="BC11" s="419">
        <f>SUM('26:25'!BC11)</f>
        <v>0</v>
      </c>
      <c r="BD11" s="589"/>
      <c r="BE11" s="419">
        <f>SUM('26:25'!BE11)</f>
        <v>0</v>
      </c>
      <c r="BF11" s="419">
        <f>SUM('26:25'!BF11)</f>
        <v>0</v>
      </c>
      <c r="BG11" s="419">
        <f>SUM('26:25'!BG11)</f>
        <v>0</v>
      </c>
      <c r="BH11" s="419">
        <f>SUM('26:25'!BH11)</f>
        <v>0</v>
      </c>
      <c r="BI11" s="589"/>
      <c r="BJ11" s="419">
        <f>SUM('26:25'!BJ11)</f>
        <v>0</v>
      </c>
      <c r="BK11" s="419">
        <f>SUM('26:25'!BK11)</f>
        <v>60</v>
      </c>
      <c r="BL11" s="419">
        <f>SUM('26:25'!BL11)</f>
        <v>0</v>
      </c>
      <c r="BM11" s="419">
        <f>SUM('26:25'!BM11)</f>
        <v>0</v>
      </c>
      <c r="BN11" s="419">
        <f>SUM('26:25'!BN11)</f>
        <v>0</v>
      </c>
      <c r="BO11" s="419">
        <f>SUM('26:25'!BO11)</f>
        <v>0</v>
      </c>
      <c r="BP11" s="419">
        <f>SUM('26:25'!BP11)</f>
        <v>0</v>
      </c>
      <c r="BQ11" s="419">
        <f>SUM('26:25'!BQ11)</f>
        <v>0</v>
      </c>
      <c r="BR11" s="419">
        <f>SUM('26:25'!BR11)</f>
        <v>75</v>
      </c>
      <c r="BS11" s="419">
        <f>SUM('26:25'!BS11)</f>
        <v>0</v>
      </c>
      <c r="BT11" s="419">
        <f>SUM('26:25'!BT11)</f>
        <v>120</v>
      </c>
      <c r="BU11" s="419">
        <f>SUM('26:25'!BU11)</f>
        <v>0</v>
      </c>
      <c r="BV11" s="419">
        <f>SUM('26:25'!BV11)</f>
        <v>0</v>
      </c>
      <c r="BW11" s="419">
        <f>SUM('26:25'!BW11)</f>
        <v>0</v>
      </c>
      <c r="BX11" s="595"/>
      <c r="BY11">
        <v>79040</v>
      </c>
      <c r="BZ11">
        <v>62410</v>
      </c>
      <c r="CA11">
        <v>1860</v>
      </c>
      <c r="CD11" s="74"/>
      <c r="CE11" s="74"/>
      <c r="CF11" s="74"/>
    </row>
    <row r="12" spans="1:84" ht="19.5" customHeight="1" x14ac:dyDescent="0.25">
      <c r="A12" s="418">
        <f>'BANG LUONG 1'!A13</f>
        <v>7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>
        <f>SUM('26:25'!E12)</f>
        <v>0</v>
      </c>
      <c r="F12" s="419">
        <f>SUM('26:25'!F12)</f>
        <v>0</v>
      </c>
      <c r="G12" s="419">
        <f>SUM('26:25'!G12)</f>
        <v>0</v>
      </c>
      <c r="H12" s="419">
        <f>SUM('26:25'!H12)</f>
        <v>0</v>
      </c>
      <c r="I12" s="419">
        <f>SUM('26:25'!I12)</f>
        <v>0</v>
      </c>
      <c r="J12" s="419">
        <f>SUM('26:25'!J12)</f>
        <v>0</v>
      </c>
      <c r="K12" s="419">
        <f>SUM('26:25'!K12)</f>
        <v>0</v>
      </c>
      <c r="L12" s="419">
        <f>SUM('26:25'!L12)</f>
        <v>0</v>
      </c>
      <c r="M12" s="419">
        <f>SUM('26:25'!M12)</f>
        <v>0</v>
      </c>
      <c r="N12" s="419">
        <f>SUM('26:25'!N12)</f>
        <v>0</v>
      </c>
      <c r="O12" s="419">
        <f>SUM('26:25'!O12)</f>
        <v>0</v>
      </c>
      <c r="P12" s="419">
        <f>SUM('26:25'!P12)</f>
        <v>0</v>
      </c>
      <c r="Q12" s="419">
        <f>SUM('26:25'!Q12)</f>
        <v>0</v>
      </c>
      <c r="R12" s="419">
        <f>SUM('26:25'!R12)</f>
        <v>0</v>
      </c>
      <c r="S12" s="419">
        <f>SUM('26:25'!S12)</f>
        <v>0</v>
      </c>
      <c r="T12" s="419">
        <f>SUM('26:25'!T12)</f>
        <v>0</v>
      </c>
      <c r="U12" s="589"/>
      <c r="V12" s="419">
        <f>SUM('26:25'!V12)</f>
        <v>0</v>
      </c>
      <c r="W12" s="419">
        <f>SUM('26:25'!W12)</f>
        <v>0</v>
      </c>
      <c r="X12" s="419">
        <f>SUM('26:25'!X12)</f>
        <v>0</v>
      </c>
      <c r="Y12" s="419">
        <f>SUM('26:25'!Y12)</f>
        <v>0</v>
      </c>
      <c r="Z12" s="419">
        <f>SUM('26:25'!Z12)</f>
        <v>0</v>
      </c>
      <c r="AA12" s="419">
        <f>SUM('26:25'!AA12)</f>
        <v>0</v>
      </c>
      <c r="AB12" s="419">
        <f>SUM('26:25'!AB12)</f>
        <v>0</v>
      </c>
      <c r="AC12" s="419">
        <f>SUM('26:25'!AC12)</f>
        <v>0</v>
      </c>
      <c r="AD12" s="419">
        <f>SUM('26:25'!AD12)</f>
        <v>0</v>
      </c>
      <c r="AE12" s="419">
        <f>SUM('26:25'!AE12)</f>
        <v>0</v>
      </c>
      <c r="AF12" s="419">
        <f>SUM('26:25'!AF12)</f>
        <v>0</v>
      </c>
      <c r="AG12" s="419">
        <f>SUM('26:25'!AG12)</f>
        <v>0</v>
      </c>
      <c r="AH12" s="419">
        <f>SUM('26:25'!AH12)</f>
        <v>0</v>
      </c>
      <c r="AI12" s="419">
        <f>SUM('26:25'!AI12)</f>
        <v>0</v>
      </c>
      <c r="AJ12" s="419">
        <f>SUM('26:25'!AJ12)</f>
        <v>0</v>
      </c>
      <c r="AK12" s="589"/>
      <c r="AL12" s="419">
        <f>SUM('26:25'!AL12)</f>
        <v>426410</v>
      </c>
      <c r="AM12" s="419">
        <f>SUM('26:25'!AM12)</f>
        <v>121005.55555555556</v>
      </c>
      <c r="AN12" s="419">
        <f>SUM('26:25'!AN12)</f>
        <v>0</v>
      </c>
      <c r="AO12" s="419">
        <f>SUM('26:25'!AO12)</f>
        <v>163920</v>
      </c>
      <c r="AP12" s="593"/>
      <c r="AQ12" s="419">
        <f>SUM('26:25'!AQ12)</f>
        <v>0</v>
      </c>
      <c r="AR12" s="419">
        <f>SUM('26:25'!AR12)</f>
        <v>0</v>
      </c>
      <c r="AS12" s="419">
        <f>SUM('26:25'!AS12)</f>
        <v>0</v>
      </c>
      <c r="AT12" s="419">
        <f>SUM('26:25'!AT12)</f>
        <v>0</v>
      </c>
      <c r="AU12" s="419">
        <f>SUM('26:25'!AU12)</f>
        <v>0</v>
      </c>
      <c r="AV12" s="419">
        <f>SUM('26:25'!AV12)</f>
        <v>0</v>
      </c>
      <c r="AW12" s="419">
        <f>SUM('26:25'!AW12)</f>
        <v>0</v>
      </c>
      <c r="AX12" s="419">
        <f>SUM('26:25'!AX12)</f>
        <v>0</v>
      </c>
      <c r="AY12" s="419">
        <f>SUM('26:25'!AY12)</f>
        <v>0</v>
      </c>
      <c r="AZ12" s="419">
        <f>SUM('26:25'!AZ12)</f>
        <v>0</v>
      </c>
      <c r="BA12" s="419">
        <f>SUM('26:25'!BA12)</f>
        <v>0</v>
      </c>
      <c r="BB12" s="419">
        <f>SUM('26:25'!BB12)</f>
        <v>0</v>
      </c>
      <c r="BC12" s="419">
        <f>SUM('26:25'!BC12)</f>
        <v>0</v>
      </c>
      <c r="BD12" s="589"/>
      <c r="BE12" s="419">
        <f>SUM('26:25'!BE12)</f>
        <v>0</v>
      </c>
      <c r="BF12" s="419">
        <f>SUM('26:25'!BF12)</f>
        <v>0</v>
      </c>
      <c r="BG12" s="419">
        <f>SUM('26:25'!BG12)</f>
        <v>0</v>
      </c>
      <c r="BH12" s="419">
        <f>SUM('26:25'!BH12)</f>
        <v>0</v>
      </c>
      <c r="BI12" s="589"/>
      <c r="BJ12" s="419">
        <f>SUM('26:25'!BJ12)</f>
        <v>0</v>
      </c>
      <c r="BK12" s="419">
        <f>SUM('26:25'!BK12)</f>
        <v>0</v>
      </c>
      <c r="BL12" s="419">
        <f>SUM('26:25'!BL12)</f>
        <v>0</v>
      </c>
      <c r="BM12" s="419">
        <f>SUM('26:25'!BM12)</f>
        <v>0</v>
      </c>
      <c r="BN12" s="419">
        <f>SUM('26:25'!BN12)</f>
        <v>480</v>
      </c>
      <c r="BO12" s="419">
        <f>SUM('26:25'!BO12)</f>
        <v>0</v>
      </c>
      <c r="BP12" s="419">
        <f>SUM('26:25'!BP12)</f>
        <v>0</v>
      </c>
      <c r="BQ12" s="419">
        <f>SUM('26:25'!BQ12)</f>
        <v>0</v>
      </c>
      <c r="BR12" s="419">
        <f>SUM('26:25'!BR12)</f>
        <v>0</v>
      </c>
      <c r="BS12" s="419">
        <f>SUM('26:25'!BS12)</f>
        <v>0</v>
      </c>
      <c r="BT12" s="419">
        <f>SUM('26:25'!BT12)</f>
        <v>60</v>
      </c>
      <c r="BU12" s="419">
        <f>SUM('26:25'!BU12)</f>
        <v>0</v>
      </c>
      <c r="BV12" s="419">
        <f>SUM('26:25'!BV12)</f>
        <v>0</v>
      </c>
      <c r="BW12" s="419">
        <f>SUM('26:25'!BW12)</f>
        <v>0</v>
      </c>
      <c r="BX12" s="595"/>
      <c r="BY12">
        <v>143060</v>
      </c>
      <c r="BZ12">
        <v>45770</v>
      </c>
      <c r="CA12">
        <v>28390</v>
      </c>
      <c r="CD12" s="74"/>
      <c r="CE12" s="74"/>
      <c r="CF12" s="74"/>
    </row>
    <row r="13" spans="1:84" ht="19.5" customHeight="1" x14ac:dyDescent="0.25">
      <c r="A13" s="418">
        <f>'BANG LUONG 1'!A14</f>
        <v>8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>
        <f>SUM('26:25'!E13)</f>
        <v>0</v>
      </c>
      <c r="F13" s="419">
        <f>SUM('26:25'!F13)</f>
        <v>0</v>
      </c>
      <c r="G13" s="419">
        <f>SUM('26:25'!G13)</f>
        <v>0</v>
      </c>
      <c r="H13" s="419">
        <f>SUM('26:25'!H13)</f>
        <v>0</v>
      </c>
      <c r="I13" s="419">
        <f>SUM('26:25'!I13)</f>
        <v>0</v>
      </c>
      <c r="J13" s="419">
        <f>SUM('26:25'!J13)</f>
        <v>0</v>
      </c>
      <c r="K13" s="419">
        <f>SUM('26:25'!K13)</f>
        <v>0</v>
      </c>
      <c r="L13" s="419">
        <f>SUM('26:25'!L13)</f>
        <v>0</v>
      </c>
      <c r="M13" s="419">
        <f>SUM('26:25'!M13)</f>
        <v>0</v>
      </c>
      <c r="N13" s="419">
        <f>SUM('26:25'!N13)</f>
        <v>0</v>
      </c>
      <c r="O13" s="419">
        <f>SUM('26:25'!O13)</f>
        <v>0</v>
      </c>
      <c r="P13" s="419">
        <f>SUM('26:25'!P13)</f>
        <v>0</v>
      </c>
      <c r="Q13" s="419">
        <f>SUM('26:25'!Q13)</f>
        <v>0</v>
      </c>
      <c r="R13" s="419">
        <f>SUM('26:25'!R13)</f>
        <v>0</v>
      </c>
      <c r="S13" s="419">
        <f>SUM('26:25'!S13)</f>
        <v>0</v>
      </c>
      <c r="T13" s="419">
        <f>SUM('26:25'!T13)</f>
        <v>0</v>
      </c>
      <c r="U13" s="589"/>
      <c r="V13" s="419">
        <f>SUM('26:25'!V13)</f>
        <v>0</v>
      </c>
      <c r="W13" s="419">
        <f>SUM('26:25'!W13)</f>
        <v>0</v>
      </c>
      <c r="X13" s="419">
        <f>SUM('26:25'!X13)</f>
        <v>0</v>
      </c>
      <c r="Y13" s="419">
        <f>SUM('26:25'!Y13)</f>
        <v>0</v>
      </c>
      <c r="Z13" s="419">
        <f>SUM('26:25'!Z13)</f>
        <v>0</v>
      </c>
      <c r="AA13" s="419">
        <f>SUM('26:25'!AA13)</f>
        <v>0</v>
      </c>
      <c r="AB13" s="419">
        <f>SUM('26:25'!AB13)</f>
        <v>0</v>
      </c>
      <c r="AC13" s="419">
        <f>SUM('26:25'!AC13)</f>
        <v>0</v>
      </c>
      <c r="AD13" s="419">
        <f>SUM('26:25'!AD13)</f>
        <v>0</v>
      </c>
      <c r="AE13" s="419">
        <f>SUM('26:25'!AE13)</f>
        <v>0</v>
      </c>
      <c r="AF13" s="419">
        <f>SUM('26:25'!AF13)</f>
        <v>0</v>
      </c>
      <c r="AG13" s="419">
        <f>SUM('26:25'!AG13)</f>
        <v>0</v>
      </c>
      <c r="AH13" s="419">
        <f>SUM('26:25'!AH13)</f>
        <v>0</v>
      </c>
      <c r="AI13" s="419">
        <f>SUM('26:25'!AI13)</f>
        <v>0</v>
      </c>
      <c r="AJ13" s="419">
        <f>SUM('26:25'!AJ13)</f>
        <v>0</v>
      </c>
      <c r="AK13" s="589"/>
      <c r="AL13" s="419">
        <f>SUM('26:25'!AL13)</f>
        <v>546580</v>
      </c>
      <c r="AM13" s="419">
        <f>SUM('26:25'!AM13)</f>
        <v>134425.55555555556</v>
      </c>
      <c r="AN13" s="419">
        <f>SUM('26:25'!AN13)</f>
        <v>0</v>
      </c>
      <c r="AO13" s="419">
        <f>SUM('26:25'!AO13)</f>
        <v>133570</v>
      </c>
      <c r="AP13" s="593"/>
      <c r="AQ13" s="419">
        <f>SUM('26:25'!AQ13)</f>
        <v>0</v>
      </c>
      <c r="AR13" s="419">
        <f>SUM('26:25'!AR13)</f>
        <v>0</v>
      </c>
      <c r="AS13" s="419">
        <f>SUM('26:25'!AS13)</f>
        <v>0</v>
      </c>
      <c r="AT13" s="419">
        <f>SUM('26:25'!AT13)</f>
        <v>0</v>
      </c>
      <c r="AU13" s="419">
        <f>SUM('26:25'!AU13)</f>
        <v>0</v>
      </c>
      <c r="AV13" s="419">
        <f>SUM('26:25'!AV13)</f>
        <v>0</v>
      </c>
      <c r="AW13" s="419">
        <f>SUM('26:25'!AW13)</f>
        <v>0</v>
      </c>
      <c r="AX13" s="419">
        <f>SUM('26:25'!AX13)</f>
        <v>0</v>
      </c>
      <c r="AY13" s="419">
        <f>SUM('26:25'!AY13)</f>
        <v>0</v>
      </c>
      <c r="AZ13" s="419">
        <f>SUM('26:25'!AZ13)</f>
        <v>0</v>
      </c>
      <c r="BA13" s="419">
        <f>SUM('26:25'!BA13)</f>
        <v>0</v>
      </c>
      <c r="BB13" s="419">
        <f>SUM('26:25'!BB13)</f>
        <v>0</v>
      </c>
      <c r="BC13" s="419">
        <f>SUM('26:25'!BC13)</f>
        <v>0</v>
      </c>
      <c r="BD13" s="589"/>
      <c r="BE13" s="419">
        <f>SUM('26:25'!BE13)</f>
        <v>0</v>
      </c>
      <c r="BF13" s="419">
        <f>SUM('26:25'!BF13)</f>
        <v>0</v>
      </c>
      <c r="BG13" s="419">
        <f>SUM('26:25'!BG13)</f>
        <v>0</v>
      </c>
      <c r="BH13" s="419">
        <f>SUM('26:25'!BH13)</f>
        <v>0</v>
      </c>
      <c r="BI13" s="589"/>
      <c r="BJ13" s="419">
        <f>SUM('26:25'!BJ13)</f>
        <v>0</v>
      </c>
      <c r="BK13" s="419">
        <f>SUM('26:25'!BK13)</f>
        <v>60</v>
      </c>
      <c r="BL13" s="419">
        <f>SUM('26:25'!BL13)</f>
        <v>0</v>
      </c>
      <c r="BM13" s="419">
        <f>SUM('26:25'!BM13)</f>
        <v>0</v>
      </c>
      <c r="BN13" s="419">
        <f>SUM('26:25'!BN13)</f>
        <v>0</v>
      </c>
      <c r="BO13" s="419">
        <f>SUM('26:25'!BO13)</f>
        <v>0</v>
      </c>
      <c r="BP13" s="419">
        <f>SUM('26:25'!BP13)</f>
        <v>0</v>
      </c>
      <c r="BQ13" s="419">
        <f>SUM('26:25'!BQ13)</f>
        <v>0</v>
      </c>
      <c r="BR13" s="419">
        <f>SUM('26:25'!BR13)</f>
        <v>75</v>
      </c>
      <c r="BS13" s="419">
        <f>SUM('26:25'!BS13)</f>
        <v>0</v>
      </c>
      <c r="BT13" s="419">
        <f>SUM('26:25'!BT13)</f>
        <v>170</v>
      </c>
      <c r="BU13" s="419">
        <f>SUM('26:25'!BU13)</f>
        <v>0</v>
      </c>
      <c r="BV13" s="419">
        <f>SUM('26:25'!BV13)</f>
        <v>0</v>
      </c>
      <c r="BW13" s="419">
        <f>SUM('26:25'!BW13)</f>
        <v>0</v>
      </c>
      <c r="BX13" s="633"/>
      <c r="BY13">
        <v>226240</v>
      </c>
      <c r="BZ13">
        <v>43790</v>
      </c>
      <c r="CD13" s="74"/>
      <c r="CE13" s="74"/>
      <c r="CF13" s="74"/>
    </row>
    <row r="14" spans="1:84" ht="19.5" customHeight="1" x14ac:dyDescent="0.25">
      <c r="A14" s="418"/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>
        <f>SUM('26:25'!E14)</f>
        <v>0</v>
      </c>
      <c r="F14" s="419">
        <f>SUM('26:25'!F14)</f>
        <v>0</v>
      </c>
      <c r="G14" s="419">
        <f>SUM('26:25'!G14)</f>
        <v>0</v>
      </c>
      <c r="H14" s="419">
        <f>SUM('26:25'!H14)</f>
        <v>0</v>
      </c>
      <c r="I14" s="419">
        <f>SUM('26:25'!I14)</f>
        <v>0</v>
      </c>
      <c r="J14" s="419">
        <f>SUM('26:25'!J14)</f>
        <v>0</v>
      </c>
      <c r="K14" s="419">
        <f>SUM('26:25'!K14)</f>
        <v>0</v>
      </c>
      <c r="L14" s="419">
        <f>SUM('26:25'!L14)</f>
        <v>0</v>
      </c>
      <c r="M14" s="419">
        <f>SUM('26:25'!M14)</f>
        <v>0</v>
      </c>
      <c r="N14" s="419">
        <f>SUM('26:25'!N14)</f>
        <v>0</v>
      </c>
      <c r="O14" s="419">
        <f>SUM('26:25'!O14)</f>
        <v>0</v>
      </c>
      <c r="P14" s="419">
        <f>SUM('26:25'!P14)</f>
        <v>0</v>
      </c>
      <c r="Q14" s="419">
        <f>SUM('26:25'!Q14)</f>
        <v>0</v>
      </c>
      <c r="R14" s="419">
        <f>SUM('26:25'!R14)</f>
        <v>0</v>
      </c>
      <c r="S14" s="419">
        <f>SUM('26:25'!S14)</f>
        <v>0</v>
      </c>
      <c r="T14" s="419">
        <f>SUM('26:25'!T14)</f>
        <v>0</v>
      </c>
      <c r="U14" s="589"/>
      <c r="V14" s="419">
        <f>SUM('26:25'!V14)</f>
        <v>0</v>
      </c>
      <c r="W14" s="419">
        <f>SUM('26:25'!W14)</f>
        <v>0</v>
      </c>
      <c r="X14" s="419">
        <f>SUM('26:25'!X14)</f>
        <v>0</v>
      </c>
      <c r="Y14" s="419">
        <f>SUM('26:25'!Y14)</f>
        <v>0</v>
      </c>
      <c r="Z14" s="419">
        <f>SUM('26:25'!Z14)</f>
        <v>0</v>
      </c>
      <c r="AA14" s="419">
        <f>SUM('26:25'!AA14)</f>
        <v>0</v>
      </c>
      <c r="AB14" s="419">
        <f>SUM('26:25'!AB14)</f>
        <v>0</v>
      </c>
      <c r="AC14" s="419">
        <f>SUM('26:25'!AC14)</f>
        <v>0</v>
      </c>
      <c r="AD14" s="419">
        <f>SUM('26:25'!AD14)</f>
        <v>0</v>
      </c>
      <c r="AE14" s="419">
        <f>SUM('26:25'!AE14)</f>
        <v>0</v>
      </c>
      <c r="AF14" s="419">
        <f>SUM('26:25'!AF14)</f>
        <v>0</v>
      </c>
      <c r="AG14" s="419">
        <f>SUM('26:25'!AG14)</f>
        <v>0</v>
      </c>
      <c r="AH14" s="419">
        <f>SUM('26:25'!AH14)</f>
        <v>0</v>
      </c>
      <c r="AI14" s="419">
        <f>SUM('26:25'!AI14)</f>
        <v>0</v>
      </c>
      <c r="AJ14" s="419">
        <f>SUM('26:25'!AJ14)</f>
        <v>0</v>
      </c>
      <c r="AK14" s="589"/>
      <c r="AL14" s="419">
        <f>SUM('26:25'!AL14)</f>
        <v>543400</v>
      </c>
      <c r="AM14" s="419">
        <f>SUM('26:25'!AM14)</f>
        <v>134425.55555555556</v>
      </c>
      <c r="AN14" s="419">
        <f>SUM('26:25'!AN14)</f>
        <v>0</v>
      </c>
      <c r="AO14" s="419">
        <f>SUM('26:25'!AO14)</f>
        <v>116450</v>
      </c>
      <c r="AP14" s="593"/>
      <c r="AQ14" s="419">
        <f>SUM('26:25'!AQ14)</f>
        <v>0</v>
      </c>
      <c r="AR14" s="419">
        <f>SUM('26:25'!AR14)</f>
        <v>0</v>
      </c>
      <c r="AS14" s="419">
        <f>SUM('26:25'!AS14)</f>
        <v>0</v>
      </c>
      <c r="AT14" s="419">
        <f>SUM('26:25'!AT14)</f>
        <v>0</v>
      </c>
      <c r="AU14" s="419">
        <f>SUM('26:25'!AU14)</f>
        <v>0</v>
      </c>
      <c r="AV14" s="419">
        <f>SUM('26:25'!AV14)</f>
        <v>0</v>
      </c>
      <c r="AW14" s="419">
        <f>SUM('26:25'!AW14)</f>
        <v>0</v>
      </c>
      <c r="AX14" s="419">
        <f>SUM('26:25'!AX14)</f>
        <v>0</v>
      </c>
      <c r="AY14" s="419">
        <f>SUM('26:25'!AY14)</f>
        <v>0</v>
      </c>
      <c r="AZ14" s="419">
        <f>SUM('26:25'!AZ14)</f>
        <v>0</v>
      </c>
      <c r="BA14" s="419">
        <f>SUM('26:25'!BA14)</f>
        <v>0</v>
      </c>
      <c r="BB14" s="419">
        <f>SUM('26:25'!BB14)</f>
        <v>0</v>
      </c>
      <c r="BC14" s="419">
        <f>SUM('26:25'!BC14)</f>
        <v>0</v>
      </c>
      <c r="BD14" s="589"/>
      <c r="BE14" s="419">
        <f>SUM('26:25'!BE14)</f>
        <v>0</v>
      </c>
      <c r="BF14" s="419">
        <f>SUM('26:25'!BF14)</f>
        <v>0</v>
      </c>
      <c r="BG14" s="419">
        <f>SUM('26:25'!BG14)</f>
        <v>0</v>
      </c>
      <c r="BH14" s="419">
        <f>SUM('26:25'!BH14)</f>
        <v>0</v>
      </c>
      <c r="BI14" s="589"/>
      <c r="BJ14" s="419">
        <f>SUM('26:25'!BJ14)</f>
        <v>0</v>
      </c>
      <c r="BK14" s="419">
        <f>SUM('26:25'!BK14)</f>
        <v>60</v>
      </c>
      <c r="BL14" s="419">
        <f>SUM('26:25'!BL14)</f>
        <v>0</v>
      </c>
      <c r="BM14" s="419">
        <f>SUM('26:25'!BM14)</f>
        <v>0</v>
      </c>
      <c r="BN14" s="419">
        <f>SUM('26:25'!BN14)</f>
        <v>0</v>
      </c>
      <c r="BO14" s="419">
        <f>SUM('26:25'!BO14)</f>
        <v>0</v>
      </c>
      <c r="BP14" s="419">
        <f>SUM('26:25'!BP14)</f>
        <v>0</v>
      </c>
      <c r="BQ14" s="419">
        <f>SUM('26:25'!BQ14)</f>
        <v>0</v>
      </c>
      <c r="BR14" s="419">
        <f>SUM('26:25'!BR14)</f>
        <v>75</v>
      </c>
      <c r="BS14" s="419">
        <f>SUM('26:25'!BS14)</f>
        <v>0</v>
      </c>
      <c r="BT14" s="419">
        <f>SUM('26:25'!BT14)</f>
        <v>170</v>
      </c>
      <c r="BU14" s="419">
        <f>SUM('26:25'!BU14)</f>
        <v>0</v>
      </c>
      <c r="BV14" s="419">
        <f>SUM('26:25'!BV14)</f>
        <v>0</v>
      </c>
      <c r="BW14" s="419">
        <f>SUM('26:25'!BW14)</f>
        <v>0</v>
      </c>
      <c r="BX14" s="633"/>
      <c r="BY14">
        <v>83570</v>
      </c>
      <c r="BZ14">
        <v>53420</v>
      </c>
      <c r="CA14">
        <v>22450</v>
      </c>
      <c r="CD14" s="74"/>
      <c r="CE14" s="74"/>
      <c r="CF14" s="74"/>
    </row>
    <row r="15" spans="1:84" ht="19.5" customHeight="1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>
        <f>SUM('26:25'!E15)</f>
        <v>0</v>
      </c>
      <c r="F15" s="419">
        <f>SUM('26:25'!F15)</f>
        <v>0</v>
      </c>
      <c r="G15" s="419">
        <f>SUM('26:25'!G15)</f>
        <v>0</v>
      </c>
      <c r="H15" s="419">
        <f>SUM('26:25'!H15)</f>
        <v>0</v>
      </c>
      <c r="I15" s="419">
        <f>SUM('26:25'!I15)</f>
        <v>0</v>
      </c>
      <c r="J15" s="419">
        <f>SUM('26:25'!J15)</f>
        <v>0</v>
      </c>
      <c r="K15" s="419">
        <f>SUM('26:25'!K15)</f>
        <v>0</v>
      </c>
      <c r="L15" s="419">
        <f>SUM('26:25'!L15)</f>
        <v>0</v>
      </c>
      <c r="M15" s="419">
        <f>SUM('26:25'!M15)</f>
        <v>0</v>
      </c>
      <c r="N15" s="419">
        <f>SUM('26:25'!N15)</f>
        <v>0</v>
      </c>
      <c r="O15" s="419">
        <f>SUM('26:25'!O15)</f>
        <v>0</v>
      </c>
      <c r="P15" s="419">
        <f>SUM('26:25'!P15)</f>
        <v>0</v>
      </c>
      <c r="Q15" s="419">
        <f>SUM('26:25'!Q15)</f>
        <v>0</v>
      </c>
      <c r="R15" s="419">
        <f>SUM('26:25'!R15)</f>
        <v>0</v>
      </c>
      <c r="S15" s="419">
        <f>SUM('26:25'!S15)</f>
        <v>0</v>
      </c>
      <c r="T15" s="419">
        <f>SUM('26:25'!T15)</f>
        <v>0</v>
      </c>
      <c r="U15" s="589"/>
      <c r="V15" s="419">
        <f>SUM('26:25'!V15)</f>
        <v>0</v>
      </c>
      <c r="W15" s="419">
        <f>SUM('26:25'!W15)</f>
        <v>0</v>
      </c>
      <c r="X15" s="419">
        <f>SUM('26:25'!X15)</f>
        <v>0</v>
      </c>
      <c r="Y15" s="419">
        <f>SUM('26:25'!Y15)</f>
        <v>0</v>
      </c>
      <c r="Z15" s="419">
        <f>SUM('26:25'!Z15)</f>
        <v>0</v>
      </c>
      <c r="AA15" s="419">
        <f>SUM('26:25'!AA15)</f>
        <v>0</v>
      </c>
      <c r="AB15" s="419">
        <f>SUM('26:25'!AB15)</f>
        <v>0</v>
      </c>
      <c r="AC15" s="419">
        <f>SUM('26:25'!AC15)</f>
        <v>0</v>
      </c>
      <c r="AD15" s="419">
        <f>SUM('26:25'!AD15)</f>
        <v>0</v>
      </c>
      <c r="AE15" s="419">
        <f>SUM('26:25'!AE15)</f>
        <v>0</v>
      </c>
      <c r="AF15" s="419">
        <f>SUM('26:25'!AF15)</f>
        <v>0</v>
      </c>
      <c r="AG15" s="419">
        <f>SUM('26:25'!AG15)</f>
        <v>0</v>
      </c>
      <c r="AH15" s="419">
        <f>SUM('26:25'!AH15)</f>
        <v>0</v>
      </c>
      <c r="AI15" s="419">
        <f>SUM('26:25'!AI15)</f>
        <v>0</v>
      </c>
      <c r="AJ15" s="419">
        <f>SUM('26:25'!AJ15)</f>
        <v>0</v>
      </c>
      <c r="AK15" s="589"/>
      <c r="AL15" s="419">
        <f>SUM('26:25'!AL15)</f>
        <v>0</v>
      </c>
      <c r="AM15" s="419">
        <f>SUM('26:25'!AM15)</f>
        <v>0</v>
      </c>
      <c r="AN15" s="419">
        <f>SUM('26:25'!AN15)</f>
        <v>0</v>
      </c>
      <c r="AO15" s="419">
        <f>SUM('26:25'!AO15)</f>
        <v>0</v>
      </c>
      <c r="AP15" s="593"/>
      <c r="AQ15" s="419">
        <f>SUM('26:25'!AQ15)</f>
        <v>0</v>
      </c>
      <c r="AR15" s="419">
        <f>SUM('26:25'!AR15)</f>
        <v>0</v>
      </c>
      <c r="AS15" s="419">
        <f>SUM('26:25'!AS15)</f>
        <v>0</v>
      </c>
      <c r="AT15" s="419">
        <f>SUM('26:25'!AT15)</f>
        <v>0</v>
      </c>
      <c r="AU15" s="419">
        <f>SUM('26:25'!AU15)</f>
        <v>0</v>
      </c>
      <c r="AV15" s="419">
        <f>SUM('26:25'!AV15)</f>
        <v>0</v>
      </c>
      <c r="AW15" s="419">
        <f>SUM('26:25'!AW15)</f>
        <v>0</v>
      </c>
      <c r="AX15" s="419">
        <f>SUM('26:25'!AX15)</f>
        <v>0</v>
      </c>
      <c r="AY15" s="419">
        <f>SUM('26:25'!AY15)</f>
        <v>0</v>
      </c>
      <c r="AZ15" s="419">
        <f>SUM('26:25'!AZ15)</f>
        <v>0</v>
      </c>
      <c r="BA15" s="419">
        <f>SUM('26:25'!BA15)</f>
        <v>0</v>
      </c>
      <c r="BB15" s="419">
        <f>SUM('26:25'!BB15)</f>
        <v>0</v>
      </c>
      <c r="BC15" s="419">
        <f>SUM('26:25'!BC15)</f>
        <v>0</v>
      </c>
      <c r="BD15" s="589"/>
      <c r="BE15" s="419">
        <f>SUM('26:25'!BE15)</f>
        <v>0</v>
      </c>
      <c r="BF15" s="419">
        <f>SUM('26:25'!BF15)</f>
        <v>0</v>
      </c>
      <c r="BG15" s="419">
        <f>SUM('26:25'!BG15)</f>
        <v>0</v>
      </c>
      <c r="BH15" s="419">
        <f>SUM('26:25'!BH15)</f>
        <v>0</v>
      </c>
      <c r="BI15" s="589"/>
      <c r="BJ15" s="419">
        <f>SUM('26:25'!BJ15)</f>
        <v>0</v>
      </c>
      <c r="BK15" s="419">
        <f>SUM('26:25'!BK15)</f>
        <v>0</v>
      </c>
      <c r="BL15" s="419">
        <f>SUM('26:25'!BL15)</f>
        <v>0</v>
      </c>
      <c r="BM15" s="419">
        <f>SUM('26:25'!BM15)</f>
        <v>0</v>
      </c>
      <c r="BN15" s="419">
        <f>SUM('26:25'!BN15)</f>
        <v>0</v>
      </c>
      <c r="BO15" s="419">
        <f>SUM('26:25'!BO15)</f>
        <v>0</v>
      </c>
      <c r="BP15" s="419">
        <f>SUM('26:25'!BP15)</f>
        <v>0</v>
      </c>
      <c r="BQ15" s="419">
        <f>SUM('26:25'!BQ15)</f>
        <v>0</v>
      </c>
      <c r="BR15" s="419">
        <f>SUM('26:25'!BR15)</f>
        <v>0</v>
      </c>
      <c r="BS15" s="419">
        <f>SUM('26:25'!BS15)</f>
        <v>0</v>
      </c>
      <c r="BT15" s="419">
        <f>SUM('26:25'!BT15)</f>
        <v>0</v>
      </c>
      <c r="BU15" s="419">
        <f>SUM('26:25'!BU15)</f>
        <v>0</v>
      </c>
      <c r="BV15" s="419">
        <f>SUM('26:25'!BV15)</f>
        <v>0</v>
      </c>
      <c r="BW15" s="419">
        <f>SUM('26:25'!BW15)</f>
        <v>0</v>
      </c>
      <c r="BX15" s="633"/>
      <c r="BY15">
        <v>173260</v>
      </c>
      <c r="BZ15">
        <v>16030</v>
      </c>
      <c r="CA15">
        <v>8250</v>
      </c>
      <c r="CD15" s="74"/>
      <c r="CE15" s="74"/>
      <c r="CF15" s="74"/>
    </row>
    <row r="16" spans="1:84" ht="19.5" customHeight="1" x14ac:dyDescent="0.25">
      <c r="A16" s="418">
        <f>'BANG LUONG 1'!A17</f>
        <v>11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>
        <f>SUM('26:25'!E16)</f>
        <v>0</v>
      </c>
      <c r="F16" s="419">
        <f>SUM('26:25'!F16)</f>
        <v>0</v>
      </c>
      <c r="G16" s="419">
        <f>SUM('26:25'!G16)</f>
        <v>0</v>
      </c>
      <c r="H16" s="419">
        <f>SUM('26:25'!H16)</f>
        <v>0</v>
      </c>
      <c r="I16" s="419">
        <f>SUM('26:25'!I16)</f>
        <v>0</v>
      </c>
      <c r="J16" s="419">
        <f>SUM('26:25'!J16)</f>
        <v>0</v>
      </c>
      <c r="K16" s="419">
        <f>SUM('26:25'!K16)</f>
        <v>0</v>
      </c>
      <c r="L16" s="419">
        <f>SUM('26:25'!L16)</f>
        <v>0</v>
      </c>
      <c r="M16" s="419">
        <f>SUM('26:25'!M16)</f>
        <v>0</v>
      </c>
      <c r="N16" s="419">
        <f>SUM('26:25'!N16)</f>
        <v>0</v>
      </c>
      <c r="O16" s="419">
        <f>SUM('26:25'!O16)</f>
        <v>0</v>
      </c>
      <c r="P16" s="419">
        <f>SUM('26:25'!P16)</f>
        <v>0</v>
      </c>
      <c r="Q16" s="419">
        <f>SUM('26:25'!Q16)</f>
        <v>0</v>
      </c>
      <c r="R16" s="419">
        <f>SUM('26:25'!R16)</f>
        <v>0</v>
      </c>
      <c r="S16" s="419">
        <f>SUM('26:25'!S16)</f>
        <v>0</v>
      </c>
      <c r="T16" s="419">
        <f>SUM('26:25'!T16)</f>
        <v>0</v>
      </c>
      <c r="U16" s="589"/>
      <c r="V16" s="419">
        <f>SUM('26:25'!V16)</f>
        <v>0</v>
      </c>
      <c r="W16" s="419">
        <f>SUM('26:25'!W16)</f>
        <v>0</v>
      </c>
      <c r="X16" s="419">
        <f>SUM('26:25'!X16)</f>
        <v>0</v>
      </c>
      <c r="Y16" s="419">
        <f>SUM('26:25'!Y16)</f>
        <v>0</v>
      </c>
      <c r="Z16" s="419">
        <f>SUM('26:25'!Z16)</f>
        <v>0</v>
      </c>
      <c r="AA16" s="419">
        <f>SUM('26:25'!AA16)</f>
        <v>0</v>
      </c>
      <c r="AB16" s="419">
        <f>SUM('26:25'!AB16)</f>
        <v>0</v>
      </c>
      <c r="AC16" s="419">
        <f>SUM('26:25'!AC16)</f>
        <v>0</v>
      </c>
      <c r="AD16" s="419">
        <f>SUM('26:25'!AD16)</f>
        <v>0</v>
      </c>
      <c r="AE16" s="419">
        <f>SUM('26:25'!AE16)</f>
        <v>0</v>
      </c>
      <c r="AF16" s="419">
        <f>SUM('26:25'!AF16)</f>
        <v>0</v>
      </c>
      <c r="AG16" s="419">
        <f>SUM('26:25'!AG16)</f>
        <v>0</v>
      </c>
      <c r="AH16" s="419">
        <f>SUM('26:25'!AH16)</f>
        <v>0</v>
      </c>
      <c r="AI16" s="419">
        <f>SUM('26:25'!AI16)</f>
        <v>0</v>
      </c>
      <c r="AJ16" s="419">
        <f>SUM('26:25'!AJ16)</f>
        <v>0</v>
      </c>
      <c r="AK16" s="589"/>
      <c r="AL16" s="419">
        <f>SUM('26:25'!AL16)</f>
        <v>522390</v>
      </c>
      <c r="AM16" s="419">
        <f>SUM('26:25'!AM16)</f>
        <v>116395.55555555556</v>
      </c>
      <c r="AN16" s="419">
        <f>SUM('26:25'!AN16)</f>
        <v>0</v>
      </c>
      <c r="AO16" s="419">
        <f>SUM('26:25'!AO16)</f>
        <v>153680</v>
      </c>
      <c r="AP16" s="593"/>
      <c r="AQ16" s="419">
        <f>SUM('26:25'!AQ16)</f>
        <v>0</v>
      </c>
      <c r="AR16" s="419">
        <f>SUM('26:25'!AR16)</f>
        <v>0</v>
      </c>
      <c r="AS16" s="419">
        <f>SUM('26:25'!AS16)</f>
        <v>0</v>
      </c>
      <c r="AT16" s="419">
        <f>SUM('26:25'!AT16)</f>
        <v>0</v>
      </c>
      <c r="AU16" s="419">
        <f>SUM('26:25'!AU16)</f>
        <v>0</v>
      </c>
      <c r="AV16" s="419">
        <f>SUM('26:25'!AV16)</f>
        <v>0</v>
      </c>
      <c r="AW16" s="419">
        <f>SUM('26:25'!AW16)</f>
        <v>0</v>
      </c>
      <c r="AX16" s="419">
        <f>SUM('26:25'!AX16)</f>
        <v>0</v>
      </c>
      <c r="AY16" s="419">
        <f>SUM('26:25'!AY16)</f>
        <v>0</v>
      </c>
      <c r="AZ16" s="419">
        <f>SUM('26:25'!AZ16)</f>
        <v>0</v>
      </c>
      <c r="BA16" s="419">
        <f>SUM('26:25'!BA16)</f>
        <v>0</v>
      </c>
      <c r="BB16" s="419">
        <f>SUM('26:25'!BB16)</f>
        <v>0</v>
      </c>
      <c r="BC16" s="419">
        <f>SUM('26:25'!BC16)</f>
        <v>0</v>
      </c>
      <c r="BD16" s="589"/>
      <c r="BE16" s="419">
        <f>SUM('26:25'!BE16)</f>
        <v>0</v>
      </c>
      <c r="BF16" s="419">
        <f>SUM('26:25'!BF16)</f>
        <v>0</v>
      </c>
      <c r="BG16" s="419">
        <f>SUM('26:25'!BG16)</f>
        <v>0</v>
      </c>
      <c r="BH16" s="419">
        <f>SUM('26:25'!BH16)</f>
        <v>0</v>
      </c>
      <c r="BI16" s="589"/>
      <c r="BJ16" s="419">
        <f>SUM('26:25'!BJ16)</f>
        <v>0</v>
      </c>
      <c r="BK16" s="419">
        <f>SUM('26:25'!BK16)</f>
        <v>480</v>
      </c>
      <c r="BL16" s="419">
        <f>SUM('26:25'!BL16)</f>
        <v>0</v>
      </c>
      <c r="BM16" s="419">
        <f>SUM('26:25'!BM16)</f>
        <v>0</v>
      </c>
      <c r="BN16" s="419">
        <f>SUM('26:25'!BN16)</f>
        <v>0</v>
      </c>
      <c r="BO16" s="419">
        <f>SUM('26:25'!BO16)</f>
        <v>0</v>
      </c>
      <c r="BP16" s="419">
        <f>SUM('26:25'!BP16)</f>
        <v>0</v>
      </c>
      <c r="BQ16" s="419">
        <f>SUM('26:25'!BQ16)</f>
        <v>0</v>
      </c>
      <c r="BR16" s="419">
        <f>SUM('26:25'!BR16)</f>
        <v>0</v>
      </c>
      <c r="BS16" s="419">
        <f>SUM('26:25'!BS16)</f>
        <v>0</v>
      </c>
      <c r="BT16" s="419">
        <f>SUM('26:25'!BT16)</f>
        <v>120</v>
      </c>
      <c r="BU16" s="419">
        <f>SUM('26:25'!BU16)</f>
        <v>0</v>
      </c>
      <c r="BV16" s="419">
        <f>SUM('26:25'!BV16)</f>
        <v>0</v>
      </c>
      <c r="BW16" s="419">
        <f>SUM('26:25'!BW16)</f>
        <v>0</v>
      </c>
      <c r="BX16" s="813">
        <f>SUM(E16:BW16)</f>
        <v>793065.5555555555</v>
      </c>
      <c r="BY16">
        <v>106640</v>
      </c>
      <c r="BZ16">
        <v>12050</v>
      </c>
      <c r="CA16">
        <v>13830</v>
      </c>
    </row>
    <row r="17" spans="1:84" ht="19.5" customHeight="1" x14ac:dyDescent="0.25">
      <c r="A17" s="418">
        <f>'BANG LUONG 1'!A20</f>
        <v>13</v>
      </c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>
        <f>SUM('26:25'!E17)</f>
        <v>0</v>
      </c>
      <c r="F17" s="419">
        <f>SUM('26:25'!F17)</f>
        <v>0</v>
      </c>
      <c r="G17" s="419">
        <f>SUM('26:25'!G17)</f>
        <v>0</v>
      </c>
      <c r="H17" s="419">
        <f>SUM('26:25'!H17)</f>
        <v>0</v>
      </c>
      <c r="I17" s="419">
        <f>SUM('26:25'!I17)</f>
        <v>0</v>
      </c>
      <c r="J17" s="419">
        <f>SUM('26:25'!J17)</f>
        <v>0</v>
      </c>
      <c r="K17" s="419">
        <f>SUM('26:25'!K17)</f>
        <v>0</v>
      </c>
      <c r="L17" s="419">
        <f>SUM('26:25'!L17)</f>
        <v>0</v>
      </c>
      <c r="M17" s="419">
        <f>SUM('26:25'!M17)</f>
        <v>0</v>
      </c>
      <c r="N17" s="419">
        <f>SUM('26:25'!N17)</f>
        <v>0</v>
      </c>
      <c r="O17" s="419">
        <f>SUM('26:25'!O17)</f>
        <v>0</v>
      </c>
      <c r="P17" s="419">
        <f>SUM('26:25'!P17)</f>
        <v>0</v>
      </c>
      <c r="Q17" s="419">
        <f>SUM('26:25'!Q17)</f>
        <v>0</v>
      </c>
      <c r="R17" s="419">
        <f>SUM('26:25'!R17)</f>
        <v>0</v>
      </c>
      <c r="S17" s="419">
        <f>SUM('26:25'!S17)</f>
        <v>0</v>
      </c>
      <c r="T17" s="419">
        <f>SUM('26:25'!T17)</f>
        <v>0</v>
      </c>
      <c r="U17" s="589"/>
      <c r="V17" s="419">
        <f>SUM('26:25'!V17)</f>
        <v>0</v>
      </c>
      <c r="W17" s="419">
        <f>SUM('26:25'!W17)</f>
        <v>0</v>
      </c>
      <c r="X17" s="419">
        <f>SUM('26:25'!X17)</f>
        <v>0</v>
      </c>
      <c r="Y17" s="419">
        <f>SUM('26:25'!Y17)</f>
        <v>0</v>
      </c>
      <c r="Z17" s="419">
        <f>SUM('26:25'!Z17)</f>
        <v>0</v>
      </c>
      <c r="AA17" s="419">
        <f>SUM('26:25'!AA17)</f>
        <v>0</v>
      </c>
      <c r="AB17" s="419">
        <f>SUM('26:25'!AB17)</f>
        <v>0</v>
      </c>
      <c r="AC17" s="419">
        <f>SUM('26:25'!AC17)</f>
        <v>0</v>
      </c>
      <c r="AD17" s="419">
        <f>SUM('26:25'!AD17)</f>
        <v>0</v>
      </c>
      <c r="AE17" s="419">
        <f>SUM('26:25'!AE17)</f>
        <v>0</v>
      </c>
      <c r="AF17" s="419">
        <f>SUM('26:25'!AF17)</f>
        <v>0</v>
      </c>
      <c r="AG17" s="419">
        <f>SUM('26:25'!AG17)</f>
        <v>0</v>
      </c>
      <c r="AH17" s="419">
        <f>SUM('26:25'!AH17)</f>
        <v>0</v>
      </c>
      <c r="AI17" s="419">
        <f>SUM('26:25'!AI17)</f>
        <v>0</v>
      </c>
      <c r="AJ17" s="419">
        <f>SUM('26:25'!AJ17)</f>
        <v>0</v>
      </c>
      <c r="AK17" s="589"/>
      <c r="AL17" s="419">
        <f>SUM('26:25'!AL17)</f>
        <v>0</v>
      </c>
      <c r="AM17" s="419">
        <f>SUM('26:25'!AM17)</f>
        <v>0</v>
      </c>
      <c r="AN17" s="419">
        <f>SUM('26:25'!AN17)</f>
        <v>0</v>
      </c>
      <c r="AO17" s="419">
        <f>SUM('26:25'!AO17)</f>
        <v>0</v>
      </c>
      <c r="AP17" s="593"/>
      <c r="AQ17" s="419">
        <f>SUM('26:25'!AQ17)</f>
        <v>0</v>
      </c>
      <c r="AR17" s="419">
        <f>SUM('26:25'!AR17)</f>
        <v>0</v>
      </c>
      <c r="AS17" s="419">
        <f>SUM('26:25'!AS17)</f>
        <v>0</v>
      </c>
      <c r="AT17" s="419">
        <f>SUM('26:25'!AT17)</f>
        <v>20.5</v>
      </c>
      <c r="AU17" s="419">
        <f>SUM('26:25'!AU17)</f>
        <v>0</v>
      </c>
      <c r="AV17" s="419">
        <f>SUM('26:25'!AV17)</f>
        <v>0</v>
      </c>
      <c r="AW17" s="419">
        <f>SUM('26:25'!AW17)</f>
        <v>0</v>
      </c>
      <c r="AX17" s="419">
        <f>SUM('26:25'!AX17)</f>
        <v>125.25</v>
      </c>
      <c r="AY17" s="419">
        <f>SUM('26:25'!AY17)</f>
        <v>0</v>
      </c>
      <c r="AZ17" s="419">
        <f>SUM('26:25'!AZ17)</f>
        <v>0</v>
      </c>
      <c r="BA17" s="419">
        <f>SUM('26:25'!BA17)</f>
        <v>0</v>
      </c>
      <c r="BB17" s="419">
        <f>SUM('26:25'!BB17)</f>
        <v>0</v>
      </c>
      <c r="BC17" s="419">
        <f>SUM('26:25'!BC17)</f>
        <v>0</v>
      </c>
      <c r="BD17" s="589"/>
      <c r="BE17" s="419">
        <f>SUM('26:25'!BE17)</f>
        <v>0</v>
      </c>
      <c r="BF17" s="419">
        <f>SUM('26:25'!BF17)</f>
        <v>0</v>
      </c>
      <c r="BG17" s="419">
        <f>SUM('26:25'!BG17)</f>
        <v>0</v>
      </c>
      <c r="BH17" s="419">
        <f>SUM('26:25'!BH17)</f>
        <v>0</v>
      </c>
      <c r="BI17" s="589"/>
      <c r="BJ17" s="419">
        <f>SUM('26:25'!BJ17)</f>
        <v>0</v>
      </c>
      <c r="BK17" s="419">
        <f>SUM('26:25'!BK17)</f>
        <v>0</v>
      </c>
      <c r="BL17" s="419">
        <f>SUM('26:25'!BL17)</f>
        <v>0</v>
      </c>
      <c r="BM17" s="419">
        <f>SUM('26:25'!BM17)</f>
        <v>0</v>
      </c>
      <c r="BN17" s="419">
        <f>SUM('26:25'!BN17)</f>
        <v>0</v>
      </c>
      <c r="BO17" s="419">
        <f>SUM('26:25'!BO17)</f>
        <v>0</v>
      </c>
      <c r="BP17" s="419">
        <f>SUM('26:25'!BP17)</f>
        <v>0</v>
      </c>
      <c r="BQ17" s="419">
        <f>SUM('26:25'!BQ17)</f>
        <v>0</v>
      </c>
      <c r="BR17" s="419">
        <f>SUM('26:25'!BR17)</f>
        <v>0</v>
      </c>
      <c r="BS17" s="419">
        <f>SUM('26:25'!BS17)</f>
        <v>0</v>
      </c>
      <c r="BT17" s="419">
        <f>SUM('26:25'!BT17)</f>
        <v>0</v>
      </c>
      <c r="BU17" s="419">
        <f>SUM('26:25'!BU17)</f>
        <v>0</v>
      </c>
      <c r="BV17" s="419">
        <f>SUM('26:25'!BV17)</f>
        <v>840</v>
      </c>
      <c r="BW17" s="419">
        <f>SUM('26:25'!BW17)</f>
        <v>0</v>
      </c>
      <c r="BX17" s="813">
        <f>SUM(E17:BW17)</f>
        <v>985.75</v>
      </c>
      <c r="BY17">
        <v>156650</v>
      </c>
      <c r="BZ17">
        <v>12730</v>
      </c>
      <c r="CD17" s="74"/>
      <c r="CE17" s="74"/>
      <c r="CF17" s="74"/>
    </row>
    <row r="18" spans="1:84" ht="19.5" customHeight="1" x14ac:dyDescent="0.25">
      <c r="A18" s="418">
        <f>'BANG LUONG 1'!A21</f>
        <v>14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>
        <f>SUM('26:25'!E18)</f>
        <v>0</v>
      </c>
      <c r="F18" s="419">
        <f>SUM('26:25'!F18)</f>
        <v>0</v>
      </c>
      <c r="G18" s="419">
        <f>SUM('26:25'!G18)</f>
        <v>0</v>
      </c>
      <c r="H18" s="419">
        <f>SUM('26:25'!H18)</f>
        <v>0</v>
      </c>
      <c r="I18" s="419">
        <f>SUM('26:25'!I18)</f>
        <v>0</v>
      </c>
      <c r="J18" s="419">
        <f>SUM('26:25'!J18)</f>
        <v>0</v>
      </c>
      <c r="K18" s="419">
        <f>SUM('26:25'!K18)</f>
        <v>0</v>
      </c>
      <c r="L18" s="419">
        <f>SUM('26:25'!L18)</f>
        <v>0</v>
      </c>
      <c r="M18" s="419">
        <f>SUM('26:25'!M18)</f>
        <v>0</v>
      </c>
      <c r="N18" s="419">
        <f>SUM('26:25'!N18)</f>
        <v>0</v>
      </c>
      <c r="O18" s="419">
        <f>SUM('26:25'!O18)</f>
        <v>0</v>
      </c>
      <c r="P18" s="419">
        <f>SUM('26:25'!P18)</f>
        <v>0</v>
      </c>
      <c r="Q18" s="419">
        <f>SUM('26:25'!Q18)</f>
        <v>0</v>
      </c>
      <c r="R18" s="419">
        <f>SUM('26:25'!R18)</f>
        <v>0</v>
      </c>
      <c r="S18" s="419">
        <f>SUM('26:25'!S18)</f>
        <v>0</v>
      </c>
      <c r="T18" s="419">
        <f>SUM('26:25'!T18)</f>
        <v>0</v>
      </c>
      <c r="U18" s="589"/>
      <c r="V18" s="419">
        <f>SUM('26:25'!V18)</f>
        <v>0</v>
      </c>
      <c r="W18" s="419">
        <f>SUM('26:25'!W18)</f>
        <v>0</v>
      </c>
      <c r="X18" s="419">
        <f>SUM('26:25'!X18)</f>
        <v>0</v>
      </c>
      <c r="Y18" s="419">
        <f>SUM('26:25'!Y18)</f>
        <v>0</v>
      </c>
      <c r="Z18" s="419">
        <f>SUM('26:25'!Z18)</f>
        <v>0</v>
      </c>
      <c r="AA18" s="419">
        <f>SUM('26:25'!AA18)</f>
        <v>0</v>
      </c>
      <c r="AB18" s="419">
        <f>SUM('26:25'!AB18)</f>
        <v>0</v>
      </c>
      <c r="AC18" s="419">
        <f>SUM('26:25'!AC18)</f>
        <v>0</v>
      </c>
      <c r="AD18" s="419">
        <f>SUM('26:25'!AD18)</f>
        <v>0</v>
      </c>
      <c r="AE18" s="419">
        <f>SUM('26:25'!AE18)</f>
        <v>0</v>
      </c>
      <c r="AF18" s="419">
        <f>SUM('26:25'!AF18)</f>
        <v>0</v>
      </c>
      <c r="AG18" s="419">
        <f>SUM('26:25'!AG18)</f>
        <v>0</v>
      </c>
      <c r="AH18" s="419">
        <f>SUM('26:25'!AH18)</f>
        <v>0</v>
      </c>
      <c r="AI18" s="419">
        <f>SUM('26:25'!AI18)</f>
        <v>0</v>
      </c>
      <c r="AJ18" s="419">
        <f>SUM('26:25'!AJ18)</f>
        <v>0</v>
      </c>
      <c r="AK18" s="589"/>
      <c r="AL18" s="419">
        <f>SUM('26:25'!AL18)</f>
        <v>0</v>
      </c>
      <c r="AM18" s="419">
        <f>SUM('26:25'!AM18)</f>
        <v>0</v>
      </c>
      <c r="AN18" s="419">
        <f>SUM('26:25'!AN18)</f>
        <v>0</v>
      </c>
      <c r="AO18" s="419">
        <f>SUM('26:25'!AO18)</f>
        <v>0</v>
      </c>
      <c r="AP18" s="593"/>
      <c r="AQ18" s="419">
        <f>SUM('26:25'!AQ18)</f>
        <v>0</v>
      </c>
      <c r="AR18" s="419">
        <f>SUM('26:25'!AR18)</f>
        <v>0</v>
      </c>
      <c r="AS18" s="419">
        <f>SUM('26:25'!AS18)</f>
        <v>0</v>
      </c>
      <c r="AT18" s="419">
        <f>SUM('26:25'!AT18)</f>
        <v>0</v>
      </c>
      <c r="AU18" s="419">
        <f>SUM('26:25'!AU18)</f>
        <v>0</v>
      </c>
      <c r="AV18" s="419">
        <f>SUM('26:25'!AV18)</f>
        <v>0</v>
      </c>
      <c r="AW18" s="419">
        <f>SUM('26:25'!AW18)</f>
        <v>209.42</v>
      </c>
      <c r="AX18" s="419">
        <f>SUM('26:25'!AX18)</f>
        <v>0</v>
      </c>
      <c r="AY18" s="419">
        <f>SUM('26:25'!AY18)</f>
        <v>0</v>
      </c>
      <c r="AZ18" s="419">
        <f>SUM('26:25'!AZ18)</f>
        <v>0</v>
      </c>
      <c r="BA18" s="419">
        <f>SUM('26:25'!BA18)</f>
        <v>0</v>
      </c>
      <c r="BB18" s="419">
        <f>SUM('26:25'!BB18)</f>
        <v>0</v>
      </c>
      <c r="BC18" s="419">
        <f>SUM('26:25'!BC18)</f>
        <v>0</v>
      </c>
      <c r="BD18" s="589"/>
      <c r="BE18" s="419">
        <f>SUM('26:25'!BE18)</f>
        <v>0</v>
      </c>
      <c r="BF18" s="419">
        <f>SUM('26:25'!BF18)</f>
        <v>0</v>
      </c>
      <c r="BG18" s="419">
        <f>SUM('26:25'!BG18)</f>
        <v>0</v>
      </c>
      <c r="BH18" s="419">
        <f>SUM('26:25'!BH18)</f>
        <v>0</v>
      </c>
      <c r="BI18" s="589"/>
      <c r="BJ18" s="419">
        <f>SUM('26:25'!BJ18)</f>
        <v>0</v>
      </c>
      <c r="BK18" s="419">
        <f>SUM('26:25'!BK18)</f>
        <v>0</v>
      </c>
      <c r="BL18" s="419">
        <f>SUM('26:25'!BL18)</f>
        <v>0</v>
      </c>
      <c r="BM18" s="419">
        <f>SUM('26:25'!BM18)</f>
        <v>0</v>
      </c>
      <c r="BN18" s="419">
        <f>SUM('26:25'!BN18)</f>
        <v>0</v>
      </c>
      <c r="BO18" s="419">
        <f>SUM('26:25'!BO18)</f>
        <v>0</v>
      </c>
      <c r="BP18" s="419">
        <f>SUM('26:25'!BP18)</f>
        <v>0</v>
      </c>
      <c r="BQ18" s="419">
        <f>SUM('26:25'!BQ18)</f>
        <v>0</v>
      </c>
      <c r="BR18" s="419">
        <f>SUM('26:25'!BR18)</f>
        <v>0</v>
      </c>
      <c r="BS18" s="419">
        <f>SUM('26:25'!BS18)</f>
        <v>0</v>
      </c>
      <c r="BT18" s="419">
        <f>SUM('26:25'!BT18)</f>
        <v>0</v>
      </c>
      <c r="BU18" s="419">
        <f>SUM('26:25'!BU18)</f>
        <v>0</v>
      </c>
      <c r="BV18" s="419">
        <f>SUM('26:25'!BV18)</f>
        <v>0</v>
      </c>
      <c r="BW18" s="419">
        <f>SUM('26:25'!BW18)</f>
        <v>0</v>
      </c>
      <c r="BX18" s="813">
        <f t="shared" ref="BX18:BX47" si="1">SUM(E18:BW18)</f>
        <v>209.42</v>
      </c>
      <c r="BY18">
        <v>151440</v>
      </c>
      <c r="BZ18">
        <v>21970</v>
      </c>
      <c r="CD18" s="74"/>
      <c r="CE18" s="74"/>
      <c r="CF18" s="74"/>
    </row>
    <row r="19" spans="1:84" ht="19.5" customHeight="1" x14ac:dyDescent="0.25">
      <c r="A19" s="418">
        <f>'BANG LUONG 1'!A22</f>
        <v>15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>
        <f>SUM('26:25'!E19)</f>
        <v>0</v>
      </c>
      <c r="F19" s="419">
        <f>SUM('26:25'!F19)</f>
        <v>0</v>
      </c>
      <c r="G19" s="419">
        <f>SUM('26:25'!G19)</f>
        <v>0</v>
      </c>
      <c r="H19" s="419">
        <f>SUM('26:25'!H19)</f>
        <v>0</v>
      </c>
      <c r="I19" s="419">
        <f>SUM('26:25'!I19)</f>
        <v>0</v>
      </c>
      <c r="J19" s="419">
        <f>SUM('26:25'!J19)</f>
        <v>0</v>
      </c>
      <c r="K19" s="419">
        <f>SUM('26:25'!K19)</f>
        <v>0</v>
      </c>
      <c r="L19" s="419">
        <f>SUM('26:25'!L19)</f>
        <v>0</v>
      </c>
      <c r="M19" s="419">
        <f>SUM('26:25'!M19)</f>
        <v>0</v>
      </c>
      <c r="N19" s="419">
        <f>SUM('26:25'!N19)</f>
        <v>0</v>
      </c>
      <c r="O19" s="419">
        <f>SUM('26:25'!O19)</f>
        <v>0</v>
      </c>
      <c r="P19" s="419">
        <f>SUM('26:25'!P19)</f>
        <v>0</v>
      </c>
      <c r="Q19" s="419">
        <f>SUM('26:25'!Q19)</f>
        <v>0</v>
      </c>
      <c r="R19" s="419">
        <f>SUM('26:25'!R19)</f>
        <v>0</v>
      </c>
      <c r="S19" s="419">
        <f>SUM('26:25'!S19)</f>
        <v>0</v>
      </c>
      <c r="T19" s="419">
        <f>SUM('26:25'!T19)</f>
        <v>0</v>
      </c>
      <c r="U19" s="589"/>
      <c r="V19" s="419">
        <f>SUM('26:25'!V19)</f>
        <v>0</v>
      </c>
      <c r="W19" s="419">
        <f>SUM('26:25'!W19)</f>
        <v>0</v>
      </c>
      <c r="X19" s="419">
        <f>SUM('26:25'!X19)</f>
        <v>0</v>
      </c>
      <c r="Y19" s="419">
        <f>SUM('26:25'!Y19)</f>
        <v>0</v>
      </c>
      <c r="Z19" s="419">
        <f>SUM('26:25'!Z19)</f>
        <v>0</v>
      </c>
      <c r="AA19" s="419">
        <f>SUM('26:25'!AA19)</f>
        <v>0</v>
      </c>
      <c r="AB19" s="419">
        <f>SUM('26:25'!AB19)</f>
        <v>0</v>
      </c>
      <c r="AC19" s="419">
        <f>SUM('26:25'!AC19)</f>
        <v>0</v>
      </c>
      <c r="AD19" s="419">
        <f>SUM('26:25'!AD19)</f>
        <v>0</v>
      </c>
      <c r="AE19" s="419">
        <f>SUM('26:25'!AE19)</f>
        <v>0</v>
      </c>
      <c r="AF19" s="419">
        <f>SUM('26:25'!AF19)</f>
        <v>0</v>
      </c>
      <c r="AG19" s="419">
        <f>SUM('26:25'!AG19)</f>
        <v>0</v>
      </c>
      <c r="AH19" s="419">
        <f>SUM('26:25'!AH19)</f>
        <v>0</v>
      </c>
      <c r="AI19" s="419">
        <f>SUM('26:25'!AI19)</f>
        <v>0</v>
      </c>
      <c r="AJ19" s="419">
        <f>SUM('26:25'!AJ19)</f>
        <v>0</v>
      </c>
      <c r="AK19" s="589"/>
      <c r="AL19" s="419">
        <f>SUM('26:25'!AL19)</f>
        <v>0</v>
      </c>
      <c r="AM19" s="419">
        <f>SUM('26:25'!AM19)</f>
        <v>0</v>
      </c>
      <c r="AN19" s="419">
        <f>SUM('26:25'!AN19)</f>
        <v>0</v>
      </c>
      <c r="AO19" s="419">
        <f>SUM('26:25'!AO19)</f>
        <v>0</v>
      </c>
      <c r="AP19" s="593"/>
      <c r="AQ19" s="419">
        <f>SUM('26:25'!AQ19)</f>
        <v>0</v>
      </c>
      <c r="AR19" s="419">
        <f>SUM('26:25'!AR19)</f>
        <v>0</v>
      </c>
      <c r="AS19" s="419">
        <f>SUM('26:25'!AS19)</f>
        <v>0</v>
      </c>
      <c r="AT19" s="419">
        <f>SUM('26:25'!AT19)</f>
        <v>0</v>
      </c>
      <c r="AU19" s="419">
        <f>SUM('26:25'!AU19)</f>
        <v>0</v>
      </c>
      <c r="AV19" s="419">
        <f>SUM('26:25'!AV19)</f>
        <v>0</v>
      </c>
      <c r="AW19" s="419">
        <f>SUM('26:25'!AW19)</f>
        <v>0</v>
      </c>
      <c r="AX19" s="419">
        <f>SUM('26:25'!AX19)</f>
        <v>0</v>
      </c>
      <c r="AY19" s="419">
        <f>SUM('26:25'!AY19)</f>
        <v>162.66999999999999</v>
      </c>
      <c r="AZ19" s="419">
        <f>SUM('26:25'!AZ19)</f>
        <v>0</v>
      </c>
      <c r="BA19" s="419">
        <f>SUM('26:25'!BA19)</f>
        <v>0</v>
      </c>
      <c r="BB19" s="419">
        <f>SUM('26:25'!BB19)</f>
        <v>0</v>
      </c>
      <c r="BC19" s="419">
        <f>SUM('26:25'!BC19)</f>
        <v>0</v>
      </c>
      <c r="BD19" s="589"/>
      <c r="BE19" s="419">
        <f>SUM('26:25'!BE19)</f>
        <v>0</v>
      </c>
      <c r="BF19" s="419">
        <f>SUM('26:25'!BF19)</f>
        <v>0</v>
      </c>
      <c r="BG19" s="419">
        <f>SUM('26:25'!BG19)</f>
        <v>0</v>
      </c>
      <c r="BH19" s="419">
        <f>SUM('26:25'!BH19)</f>
        <v>0</v>
      </c>
      <c r="BI19" s="589"/>
      <c r="BJ19" s="419">
        <f>SUM('26:25'!BJ19)</f>
        <v>0</v>
      </c>
      <c r="BK19" s="419">
        <f>SUM('26:25'!BK19)</f>
        <v>0</v>
      </c>
      <c r="BL19" s="419">
        <f>SUM('26:25'!BL19)</f>
        <v>0</v>
      </c>
      <c r="BM19" s="419">
        <f>SUM('26:25'!BM19)</f>
        <v>0</v>
      </c>
      <c r="BN19" s="419">
        <f>SUM('26:25'!BN19)</f>
        <v>0</v>
      </c>
      <c r="BO19" s="419">
        <f>SUM('26:25'!BO19)</f>
        <v>0</v>
      </c>
      <c r="BP19" s="419">
        <f>SUM('26:25'!BP19)</f>
        <v>0</v>
      </c>
      <c r="BQ19" s="419">
        <f>SUM('26:25'!BQ19)</f>
        <v>0</v>
      </c>
      <c r="BR19" s="419">
        <f>SUM('26:25'!BR19)</f>
        <v>0</v>
      </c>
      <c r="BS19" s="419">
        <f>SUM('26:25'!BS19)</f>
        <v>0</v>
      </c>
      <c r="BT19" s="419">
        <f>SUM('26:25'!BT19)</f>
        <v>0</v>
      </c>
      <c r="BU19" s="419">
        <f>SUM('26:25'!BU19)</f>
        <v>0</v>
      </c>
      <c r="BV19" s="419">
        <f>SUM('26:25'!BV19)</f>
        <v>0</v>
      </c>
      <c r="BW19" s="419">
        <f>SUM('26:25'!BW19)</f>
        <v>0</v>
      </c>
      <c r="BX19" s="813">
        <f t="shared" si="1"/>
        <v>162.66999999999999</v>
      </c>
      <c r="BY19">
        <v>121830</v>
      </c>
      <c r="BZ19">
        <v>20110</v>
      </c>
    </row>
    <row r="20" spans="1:84" ht="19.5" customHeight="1" x14ac:dyDescent="0.25">
      <c r="A20" s="418">
        <f>'BANG LUONG 1'!A23</f>
        <v>16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>
        <f>SUM('26:25'!E20)</f>
        <v>0</v>
      </c>
      <c r="F20" s="419">
        <f>SUM('26:25'!F20)</f>
        <v>0</v>
      </c>
      <c r="G20" s="419">
        <f>SUM('26:25'!G20)</f>
        <v>0</v>
      </c>
      <c r="H20" s="419">
        <f>SUM('26:25'!H20)</f>
        <v>0</v>
      </c>
      <c r="I20" s="419">
        <f>SUM('26:25'!I20)</f>
        <v>0</v>
      </c>
      <c r="J20" s="419">
        <f>SUM('26:25'!J20)</f>
        <v>0</v>
      </c>
      <c r="K20" s="419">
        <f>SUM('26:25'!K20)</f>
        <v>0</v>
      </c>
      <c r="L20" s="419">
        <f>SUM('26:25'!L20)</f>
        <v>0</v>
      </c>
      <c r="M20" s="419">
        <f>SUM('26:25'!M20)</f>
        <v>0</v>
      </c>
      <c r="N20" s="419">
        <f>SUM('26:25'!N20)</f>
        <v>0</v>
      </c>
      <c r="O20" s="419">
        <f>SUM('26:25'!O20)</f>
        <v>0</v>
      </c>
      <c r="P20" s="419">
        <f>SUM('26:25'!P20)</f>
        <v>0</v>
      </c>
      <c r="Q20" s="419">
        <f>SUM('26:25'!Q20)</f>
        <v>0</v>
      </c>
      <c r="R20" s="419">
        <f>SUM('26:25'!R20)</f>
        <v>0</v>
      </c>
      <c r="S20" s="419">
        <f>SUM('26:25'!S20)</f>
        <v>0</v>
      </c>
      <c r="T20" s="419">
        <f>SUM('26:25'!T20)</f>
        <v>0</v>
      </c>
      <c r="U20" s="589"/>
      <c r="V20" s="419">
        <f>SUM('26:25'!V20)</f>
        <v>0</v>
      </c>
      <c r="W20" s="419">
        <f>SUM('26:25'!W20)</f>
        <v>0</v>
      </c>
      <c r="X20" s="419">
        <f>SUM('26:25'!X20)</f>
        <v>0</v>
      </c>
      <c r="Y20" s="419">
        <f>SUM('26:25'!Y20)</f>
        <v>0</v>
      </c>
      <c r="Z20" s="419">
        <f>SUM('26:25'!Z20)</f>
        <v>0</v>
      </c>
      <c r="AA20" s="419">
        <f>SUM('26:25'!AA20)</f>
        <v>0</v>
      </c>
      <c r="AB20" s="419">
        <f>SUM('26:25'!AB20)</f>
        <v>0</v>
      </c>
      <c r="AC20" s="419">
        <f>SUM('26:25'!AC20)</f>
        <v>0</v>
      </c>
      <c r="AD20" s="419">
        <f>SUM('26:25'!AD20)</f>
        <v>0</v>
      </c>
      <c r="AE20" s="419">
        <f>SUM('26:25'!AE20)</f>
        <v>0</v>
      </c>
      <c r="AF20" s="419">
        <f>SUM('26:25'!AF20)</f>
        <v>0</v>
      </c>
      <c r="AG20" s="419">
        <f>SUM('26:25'!AG20)</f>
        <v>0</v>
      </c>
      <c r="AH20" s="419">
        <f>SUM('26:25'!AH20)</f>
        <v>0</v>
      </c>
      <c r="AI20" s="419">
        <f>SUM('26:25'!AI20)</f>
        <v>0</v>
      </c>
      <c r="AJ20" s="419">
        <f>SUM('26:25'!AJ20)</f>
        <v>0</v>
      </c>
      <c r="AK20" s="589"/>
      <c r="AL20" s="419">
        <f>SUM('26:25'!AL20)</f>
        <v>0</v>
      </c>
      <c r="AM20" s="419">
        <f>SUM('26:25'!AM20)</f>
        <v>0</v>
      </c>
      <c r="AN20" s="419">
        <f>SUM('26:25'!AN20)</f>
        <v>0</v>
      </c>
      <c r="AO20" s="419">
        <f>SUM('26:25'!AO20)</f>
        <v>0</v>
      </c>
      <c r="AP20" s="593"/>
      <c r="AQ20" s="419">
        <f>SUM('26:25'!AQ20)</f>
        <v>0</v>
      </c>
      <c r="AR20" s="419">
        <f>SUM('26:25'!AR20)</f>
        <v>0</v>
      </c>
      <c r="AS20" s="419">
        <f>SUM('26:25'!AS20)</f>
        <v>0</v>
      </c>
      <c r="AT20" s="419">
        <f>SUM('26:25'!AT20)</f>
        <v>0</v>
      </c>
      <c r="AU20" s="419">
        <f>SUM('26:25'!AU20)</f>
        <v>0</v>
      </c>
      <c r="AV20" s="419">
        <f>SUM('26:25'!AV20)</f>
        <v>0</v>
      </c>
      <c r="AW20" s="419">
        <f>SUM('26:25'!AW20)</f>
        <v>0</v>
      </c>
      <c r="AX20" s="419">
        <f>SUM('26:25'!AX20)</f>
        <v>0</v>
      </c>
      <c r="AY20" s="419">
        <f>SUM('26:25'!AY20)</f>
        <v>0</v>
      </c>
      <c r="AZ20" s="419">
        <f>SUM('26:25'!AZ20)</f>
        <v>275.92</v>
      </c>
      <c r="BA20" s="419">
        <f>SUM('26:25'!BA20)</f>
        <v>0</v>
      </c>
      <c r="BB20" s="419">
        <f>SUM('26:25'!BB20)</f>
        <v>0</v>
      </c>
      <c r="BC20" s="419">
        <f>SUM('26:25'!BC20)</f>
        <v>0</v>
      </c>
      <c r="BD20" s="589"/>
      <c r="BE20" s="419">
        <f>SUM('26:25'!BE20)</f>
        <v>0</v>
      </c>
      <c r="BF20" s="419">
        <f>SUM('26:25'!BF20)</f>
        <v>0</v>
      </c>
      <c r="BG20" s="419">
        <f>SUM('26:25'!BG20)</f>
        <v>0</v>
      </c>
      <c r="BH20" s="419">
        <f>SUM('26:25'!BH20)</f>
        <v>0</v>
      </c>
      <c r="BI20" s="589"/>
      <c r="BJ20" s="419">
        <f>SUM('26:25'!BJ20)</f>
        <v>0</v>
      </c>
      <c r="BK20" s="419">
        <f>SUM('26:25'!BK20)</f>
        <v>0</v>
      </c>
      <c r="BL20" s="419">
        <f>SUM('26:25'!BL20)</f>
        <v>0</v>
      </c>
      <c r="BM20" s="419">
        <f>SUM('26:25'!BM20)</f>
        <v>0</v>
      </c>
      <c r="BN20" s="419">
        <f>SUM('26:25'!BN20)</f>
        <v>0</v>
      </c>
      <c r="BO20" s="419">
        <f>SUM('26:25'!BO20)</f>
        <v>0</v>
      </c>
      <c r="BP20" s="419">
        <f>SUM('26:25'!BP20)</f>
        <v>0</v>
      </c>
      <c r="BQ20" s="419">
        <f>SUM('26:25'!BQ20)</f>
        <v>0</v>
      </c>
      <c r="BR20" s="419">
        <f>SUM('26:25'!BR20)</f>
        <v>0</v>
      </c>
      <c r="BS20" s="419">
        <f>SUM('26:25'!BS20)</f>
        <v>0</v>
      </c>
      <c r="BT20" s="419">
        <f>SUM('26:25'!BT20)</f>
        <v>0</v>
      </c>
      <c r="BU20" s="419">
        <f>SUM('26:25'!BU20)</f>
        <v>0</v>
      </c>
      <c r="BV20" s="419">
        <f>SUM('26:25'!BV20)</f>
        <v>0</v>
      </c>
      <c r="BW20" s="419">
        <f>SUM('26:25'!BW20)</f>
        <v>0</v>
      </c>
      <c r="BX20" s="813">
        <f t="shared" si="1"/>
        <v>275.92</v>
      </c>
      <c r="BY20">
        <v>134720</v>
      </c>
      <c r="BZ20">
        <v>82720</v>
      </c>
      <c r="CE20" s="74"/>
    </row>
    <row r="21" spans="1:84" ht="19.5" customHeight="1" x14ac:dyDescent="0.25">
      <c r="A21" s="418">
        <f>'BANG LUONG 1'!A24</f>
        <v>17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>
        <f>SUM('26:25'!E21)</f>
        <v>0</v>
      </c>
      <c r="F21" s="419">
        <f>SUM('26:25'!F21)</f>
        <v>0</v>
      </c>
      <c r="G21" s="419">
        <f>SUM('26:25'!G21)</f>
        <v>0</v>
      </c>
      <c r="H21" s="419">
        <f>SUM('26:25'!H21)</f>
        <v>0</v>
      </c>
      <c r="I21" s="419">
        <f>SUM('26:25'!I21)</f>
        <v>0</v>
      </c>
      <c r="J21" s="419">
        <f>SUM('26:25'!J21)</f>
        <v>0</v>
      </c>
      <c r="K21" s="419">
        <f>SUM('26:25'!K21)</f>
        <v>0</v>
      </c>
      <c r="L21" s="419">
        <f>SUM('26:25'!L21)</f>
        <v>0</v>
      </c>
      <c r="M21" s="419">
        <f>SUM('26:25'!M21)</f>
        <v>0</v>
      </c>
      <c r="N21" s="419">
        <f>SUM('26:25'!N21)</f>
        <v>0</v>
      </c>
      <c r="O21" s="419">
        <f>SUM('26:25'!O21)</f>
        <v>0</v>
      </c>
      <c r="P21" s="419">
        <f>SUM('26:25'!P21)</f>
        <v>0</v>
      </c>
      <c r="Q21" s="419">
        <f>SUM('26:25'!Q21)</f>
        <v>0</v>
      </c>
      <c r="R21" s="419">
        <f>SUM('26:25'!R21)</f>
        <v>0</v>
      </c>
      <c r="S21" s="419">
        <f>SUM('26:25'!S21)</f>
        <v>0</v>
      </c>
      <c r="T21" s="419">
        <f>SUM('26:25'!T21)</f>
        <v>0</v>
      </c>
      <c r="U21" s="589"/>
      <c r="V21" s="419">
        <f>SUM('26:25'!V21)</f>
        <v>0</v>
      </c>
      <c r="W21" s="419">
        <f>SUM('26:25'!W21)</f>
        <v>0</v>
      </c>
      <c r="X21" s="419">
        <f>SUM('26:25'!X21)</f>
        <v>0</v>
      </c>
      <c r="Y21" s="419">
        <f>SUM('26:25'!Y21)</f>
        <v>0</v>
      </c>
      <c r="Z21" s="419">
        <f>SUM('26:25'!Z21)</f>
        <v>0</v>
      </c>
      <c r="AA21" s="419">
        <f>SUM('26:25'!AA21)</f>
        <v>0</v>
      </c>
      <c r="AB21" s="419">
        <f>SUM('26:25'!AB21)</f>
        <v>0</v>
      </c>
      <c r="AC21" s="419">
        <f>SUM('26:25'!AC21)</f>
        <v>0</v>
      </c>
      <c r="AD21" s="419">
        <f>SUM('26:25'!AD21)</f>
        <v>0</v>
      </c>
      <c r="AE21" s="419">
        <f>SUM('26:25'!AE21)</f>
        <v>0</v>
      </c>
      <c r="AF21" s="419">
        <f>SUM('26:25'!AF21)</f>
        <v>0</v>
      </c>
      <c r="AG21" s="419">
        <f>SUM('26:25'!AG21)</f>
        <v>0</v>
      </c>
      <c r="AH21" s="419">
        <f>SUM('26:25'!AH21)</f>
        <v>0</v>
      </c>
      <c r="AI21" s="419">
        <f>SUM('26:25'!AI21)</f>
        <v>0</v>
      </c>
      <c r="AJ21" s="419">
        <f>SUM('26:25'!AJ21)</f>
        <v>0</v>
      </c>
      <c r="AK21" s="589"/>
      <c r="AL21" s="419">
        <f>SUM('26:25'!AL21)</f>
        <v>0</v>
      </c>
      <c r="AM21" s="419">
        <f>SUM('26:25'!AM21)</f>
        <v>0</v>
      </c>
      <c r="AN21" s="419">
        <f>SUM('26:25'!AN21)</f>
        <v>0</v>
      </c>
      <c r="AO21" s="419">
        <f>SUM('26:25'!AO21)</f>
        <v>0</v>
      </c>
      <c r="AP21" s="593"/>
      <c r="AQ21" s="419">
        <f>SUM('26:25'!AQ21)</f>
        <v>0</v>
      </c>
      <c r="AR21" s="419">
        <f>SUM('26:25'!AR21)</f>
        <v>0</v>
      </c>
      <c r="AS21" s="419">
        <f>SUM('26:25'!AS21)</f>
        <v>0</v>
      </c>
      <c r="AT21" s="419">
        <f>SUM('26:25'!AT21)</f>
        <v>0</v>
      </c>
      <c r="AU21" s="419">
        <f>SUM('26:25'!AU21)</f>
        <v>0</v>
      </c>
      <c r="AV21" s="419">
        <f>SUM('26:25'!AV21)</f>
        <v>0</v>
      </c>
      <c r="AW21" s="419">
        <f>SUM('26:25'!AW21)</f>
        <v>0</v>
      </c>
      <c r="AX21" s="419">
        <f>SUM('26:25'!AX21)</f>
        <v>218.83</v>
      </c>
      <c r="AY21" s="419">
        <f>SUM('26:25'!AY21)</f>
        <v>0</v>
      </c>
      <c r="AZ21" s="419">
        <f>SUM('26:25'!AZ21)</f>
        <v>0</v>
      </c>
      <c r="BA21" s="419">
        <f>SUM('26:25'!BA21)</f>
        <v>0</v>
      </c>
      <c r="BB21" s="419">
        <f>SUM('26:25'!BB21)</f>
        <v>0</v>
      </c>
      <c r="BC21" s="419">
        <f>SUM('26:25'!BC21)</f>
        <v>0</v>
      </c>
      <c r="BD21" s="589"/>
      <c r="BE21" s="419">
        <f>SUM('26:25'!BE21)</f>
        <v>0</v>
      </c>
      <c r="BF21" s="419">
        <f>SUM('26:25'!BF21)</f>
        <v>0</v>
      </c>
      <c r="BG21" s="419">
        <f>SUM('26:25'!BG21)</f>
        <v>0</v>
      </c>
      <c r="BH21" s="419">
        <f>SUM('26:25'!BH21)</f>
        <v>0</v>
      </c>
      <c r="BI21" s="589"/>
      <c r="BJ21" s="419">
        <f>SUM('26:25'!BJ21)</f>
        <v>0</v>
      </c>
      <c r="BK21" s="419">
        <f>SUM('26:25'!BK21)</f>
        <v>0</v>
      </c>
      <c r="BL21" s="419">
        <f>SUM('26:25'!BL21)</f>
        <v>0</v>
      </c>
      <c r="BM21" s="419">
        <f>SUM('26:25'!BM21)</f>
        <v>0</v>
      </c>
      <c r="BN21" s="419">
        <f>SUM('26:25'!BN21)</f>
        <v>0</v>
      </c>
      <c r="BO21" s="419">
        <f>SUM('26:25'!BO21)</f>
        <v>0</v>
      </c>
      <c r="BP21" s="419">
        <f>SUM('26:25'!BP21)</f>
        <v>0</v>
      </c>
      <c r="BQ21" s="419">
        <f>SUM('26:25'!BQ21)</f>
        <v>0</v>
      </c>
      <c r="BR21" s="419">
        <f>SUM('26:25'!BR21)</f>
        <v>0</v>
      </c>
      <c r="BS21" s="419">
        <f>SUM('26:25'!BS21)</f>
        <v>0</v>
      </c>
      <c r="BT21" s="419">
        <f>SUM('26:25'!BT21)</f>
        <v>0</v>
      </c>
      <c r="BU21" s="419">
        <f>SUM('26:25'!BU21)</f>
        <v>0</v>
      </c>
      <c r="BV21" s="419">
        <f>SUM('26:25'!BV21)</f>
        <v>420</v>
      </c>
      <c r="BW21" s="419">
        <f>SUM('26:25'!BW21)</f>
        <v>0</v>
      </c>
      <c r="BX21" s="813">
        <f t="shared" si="1"/>
        <v>638.83000000000004</v>
      </c>
      <c r="BY21">
        <v>195600</v>
      </c>
      <c r="BZ21">
        <v>75030</v>
      </c>
      <c r="CA21">
        <v>36850</v>
      </c>
    </row>
    <row r="22" spans="1:84" ht="19.5" customHeight="1" x14ac:dyDescent="0.25">
      <c r="A22" s="418">
        <f>'BANG LUONG 1'!A25</f>
        <v>18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>
        <f>SUM('26:25'!E22)</f>
        <v>0</v>
      </c>
      <c r="F22" s="419">
        <f>SUM('26:25'!F22)</f>
        <v>0</v>
      </c>
      <c r="G22" s="419">
        <f>SUM('26:25'!G22)</f>
        <v>0</v>
      </c>
      <c r="H22" s="419">
        <f>SUM('26:25'!H22)</f>
        <v>0</v>
      </c>
      <c r="I22" s="419">
        <f>SUM('26:25'!I22)</f>
        <v>0</v>
      </c>
      <c r="J22" s="419">
        <f>SUM('26:25'!J22)</f>
        <v>0</v>
      </c>
      <c r="K22" s="419">
        <f>SUM('26:25'!K22)</f>
        <v>0</v>
      </c>
      <c r="L22" s="419">
        <f>SUM('26:25'!L22)</f>
        <v>0</v>
      </c>
      <c r="M22" s="419">
        <f>SUM('26:25'!M22)</f>
        <v>0</v>
      </c>
      <c r="N22" s="419">
        <f>SUM('26:25'!N22)</f>
        <v>0</v>
      </c>
      <c r="O22" s="419">
        <f>SUM('26:25'!O22)</f>
        <v>0</v>
      </c>
      <c r="P22" s="419">
        <f>SUM('26:25'!P22)</f>
        <v>0</v>
      </c>
      <c r="Q22" s="419">
        <f>SUM('26:25'!Q22)</f>
        <v>0</v>
      </c>
      <c r="R22" s="419">
        <f>SUM('26:25'!R22)</f>
        <v>0</v>
      </c>
      <c r="S22" s="419">
        <f>SUM('26:25'!S22)</f>
        <v>0</v>
      </c>
      <c r="T22" s="419">
        <f>SUM('26:25'!T22)</f>
        <v>0</v>
      </c>
      <c r="U22" s="589"/>
      <c r="V22" s="419">
        <f>SUM('26:25'!V22)</f>
        <v>0</v>
      </c>
      <c r="W22" s="419">
        <f>SUM('26:25'!W22)</f>
        <v>0</v>
      </c>
      <c r="X22" s="419">
        <f>SUM('26:25'!X22)</f>
        <v>0</v>
      </c>
      <c r="Y22" s="419">
        <f>SUM('26:25'!Y22)</f>
        <v>0</v>
      </c>
      <c r="Z22" s="419">
        <f>SUM('26:25'!Z22)</f>
        <v>0</v>
      </c>
      <c r="AA22" s="419">
        <f>SUM('26:25'!AA22)</f>
        <v>0</v>
      </c>
      <c r="AB22" s="419">
        <f>SUM('26:25'!AB22)</f>
        <v>0</v>
      </c>
      <c r="AC22" s="419">
        <f>SUM('26:25'!AC22)</f>
        <v>0</v>
      </c>
      <c r="AD22" s="419">
        <f>SUM('26:25'!AD22)</f>
        <v>0</v>
      </c>
      <c r="AE22" s="419">
        <f>SUM('26:25'!AE22)</f>
        <v>0</v>
      </c>
      <c r="AF22" s="419">
        <f>SUM('26:25'!AF22)</f>
        <v>0</v>
      </c>
      <c r="AG22" s="419">
        <f>SUM('26:25'!AG22)</f>
        <v>0</v>
      </c>
      <c r="AH22" s="419">
        <f>SUM('26:25'!AH22)</f>
        <v>0</v>
      </c>
      <c r="AI22" s="419">
        <f>SUM('26:25'!AI22)</f>
        <v>0</v>
      </c>
      <c r="AJ22" s="419">
        <f>SUM('26:25'!AJ22)</f>
        <v>0</v>
      </c>
      <c r="AK22" s="589"/>
      <c r="AL22" s="419">
        <f>SUM('26:25'!AL22)</f>
        <v>0</v>
      </c>
      <c r="AM22" s="419">
        <f>SUM('26:25'!AM22)</f>
        <v>0</v>
      </c>
      <c r="AN22" s="419">
        <f>SUM('26:25'!AN22)</f>
        <v>0</v>
      </c>
      <c r="AO22" s="419">
        <f>SUM('26:25'!AO22)</f>
        <v>0</v>
      </c>
      <c r="AP22" s="593"/>
      <c r="AQ22" s="419">
        <f>SUM('26:25'!AQ22)</f>
        <v>1.6666666666666687</v>
      </c>
      <c r="AR22" s="419">
        <f>SUM('26:25'!AR22)</f>
        <v>0</v>
      </c>
      <c r="AS22" s="419">
        <f>SUM('26:25'!AS22)</f>
        <v>0</v>
      </c>
      <c r="AT22" s="419">
        <f>SUM('26:25'!AT22)</f>
        <v>0</v>
      </c>
      <c r="AU22" s="419">
        <f>SUM('26:25'!AU22)</f>
        <v>0</v>
      </c>
      <c r="AV22" s="419">
        <f>SUM('26:25'!AV22)</f>
        <v>0</v>
      </c>
      <c r="AW22" s="419">
        <f>SUM('26:25'!AW22)</f>
        <v>2.5000000000000004</v>
      </c>
      <c r="AX22" s="419">
        <f>SUM('26:25'!AX22)</f>
        <v>0</v>
      </c>
      <c r="AY22" s="419">
        <f>SUM('26:25'!AY22)</f>
        <v>0</v>
      </c>
      <c r="AZ22" s="419">
        <f>SUM('26:25'!AZ22)</f>
        <v>0</v>
      </c>
      <c r="BA22" s="419">
        <f>SUM('26:25'!BA22)</f>
        <v>0</v>
      </c>
      <c r="BB22" s="419">
        <f>SUM('26:25'!BB22)</f>
        <v>0</v>
      </c>
      <c r="BC22" s="419">
        <f>SUM('26:25'!BC22)</f>
        <v>0</v>
      </c>
      <c r="BD22" s="589"/>
      <c r="BE22" s="419">
        <f>SUM('26:25'!BE22)</f>
        <v>0</v>
      </c>
      <c r="BF22" s="419">
        <f>SUM('26:25'!BF22)</f>
        <v>0</v>
      </c>
      <c r="BG22" s="419">
        <f>SUM('26:25'!BG22)</f>
        <v>0</v>
      </c>
      <c r="BH22" s="419">
        <f>SUM('26:25'!BH22)</f>
        <v>0</v>
      </c>
      <c r="BI22" s="589"/>
      <c r="BJ22" s="419">
        <f>SUM('26:25'!BJ22)</f>
        <v>0</v>
      </c>
      <c r="BK22" s="419">
        <f>SUM('26:25'!BK22)</f>
        <v>1533</v>
      </c>
      <c r="BL22" s="419">
        <f>SUM('26:25'!BL22)</f>
        <v>0</v>
      </c>
      <c r="BM22" s="419">
        <f>SUM('26:25'!BM22)</f>
        <v>0</v>
      </c>
      <c r="BN22" s="419">
        <f>SUM('26:25'!BN22)</f>
        <v>0</v>
      </c>
      <c r="BO22" s="419">
        <f>SUM('26:25'!BO22)</f>
        <v>0</v>
      </c>
      <c r="BP22" s="419">
        <f>SUM('26:25'!BP22)</f>
        <v>0</v>
      </c>
      <c r="BQ22" s="419">
        <f>SUM('26:25'!BQ22)</f>
        <v>0</v>
      </c>
      <c r="BR22" s="419">
        <f>SUM('26:25'!BR22)</f>
        <v>0</v>
      </c>
      <c r="BS22" s="419">
        <f>SUM('26:25'!BS22)</f>
        <v>0</v>
      </c>
      <c r="BT22" s="419">
        <f>SUM('26:25'!BT22)</f>
        <v>0</v>
      </c>
      <c r="BU22" s="419">
        <f>SUM('26:25'!BU22)</f>
        <v>0</v>
      </c>
      <c r="BV22" s="419">
        <f>SUM('26:25'!BV22)</f>
        <v>1440</v>
      </c>
      <c r="BW22" s="419">
        <f>SUM('26:25'!BW22)</f>
        <v>0</v>
      </c>
      <c r="BX22" s="813">
        <f t="shared" si="1"/>
        <v>2977.166666666667</v>
      </c>
      <c r="BY22">
        <v>80730</v>
      </c>
      <c r="BZ22">
        <v>33670</v>
      </c>
      <c r="CA22">
        <v>41580</v>
      </c>
    </row>
    <row r="23" spans="1:84" ht="19.5" customHeight="1" x14ac:dyDescent="0.25">
      <c r="A23" s="418">
        <f>'BANG LUONG 1'!A26</f>
        <v>19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>
        <f>SUM('26:25'!E23)</f>
        <v>0</v>
      </c>
      <c r="F23" s="419">
        <f>SUM('26:25'!F23)</f>
        <v>0</v>
      </c>
      <c r="G23" s="419">
        <f>SUM('26:25'!G23)</f>
        <v>0</v>
      </c>
      <c r="H23" s="419">
        <f>SUM('26:25'!H23)</f>
        <v>0</v>
      </c>
      <c r="I23" s="419">
        <f>SUM('26:25'!I23)</f>
        <v>0</v>
      </c>
      <c r="J23" s="419">
        <f>SUM('26:25'!J23)</f>
        <v>0</v>
      </c>
      <c r="K23" s="419">
        <f>SUM('26:25'!K23)</f>
        <v>0</v>
      </c>
      <c r="L23" s="419">
        <f>SUM('26:25'!L23)</f>
        <v>0</v>
      </c>
      <c r="M23" s="419">
        <f>SUM('26:25'!M23)</f>
        <v>0</v>
      </c>
      <c r="N23" s="419">
        <f>SUM('26:25'!N23)</f>
        <v>0</v>
      </c>
      <c r="O23" s="419">
        <f>SUM('26:25'!O23)</f>
        <v>0</v>
      </c>
      <c r="P23" s="419">
        <f>SUM('26:25'!P23)</f>
        <v>0</v>
      </c>
      <c r="Q23" s="419">
        <f>SUM('26:25'!Q23)</f>
        <v>0</v>
      </c>
      <c r="R23" s="419">
        <f>SUM('26:25'!R23)</f>
        <v>0</v>
      </c>
      <c r="S23" s="419">
        <f>SUM('26:25'!S23)</f>
        <v>0</v>
      </c>
      <c r="T23" s="419">
        <f>SUM('26:25'!T23)</f>
        <v>0</v>
      </c>
      <c r="U23" s="589"/>
      <c r="V23" s="419">
        <f>SUM('26:25'!V23)</f>
        <v>0</v>
      </c>
      <c r="W23" s="419">
        <f>SUM('26:25'!W23)</f>
        <v>0</v>
      </c>
      <c r="X23" s="419">
        <f>SUM('26:25'!X23)</f>
        <v>0</v>
      </c>
      <c r="Y23" s="419">
        <f>SUM('26:25'!Y23)</f>
        <v>0</v>
      </c>
      <c r="Z23" s="419">
        <f>SUM('26:25'!Z23)</f>
        <v>0</v>
      </c>
      <c r="AA23" s="419">
        <f>SUM('26:25'!AA23)</f>
        <v>0</v>
      </c>
      <c r="AB23" s="419">
        <f>SUM('26:25'!AB23)</f>
        <v>0</v>
      </c>
      <c r="AC23" s="419">
        <f>SUM('26:25'!AC23)</f>
        <v>0</v>
      </c>
      <c r="AD23" s="419">
        <f>SUM('26:25'!AD23)</f>
        <v>0</v>
      </c>
      <c r="AE23" s="419">
        <f>SUM('26:25'!AE23)</f>
        <v>0</v>
      </c>
      <c r="AF23" s="419">
        <f>SUM('26:25'!AF23)</f>
        <v>0</v>
      </c>
      <c r="AG23" s="419">
        <f>SUM('26:25'!AG23)</f>
        <v>0</v>
      </c>
      <c r="AH23" s="419">
        <f>SUM('26:25'!AH23)</f>
        <v>0</v>
      </c>
      <c r="AI23" s="419">
        <f>SUM('26:25'!AI23)</f>
        <v>0</v>
      </c>
      <c r="AJ23" s="419">
        <f>SUM('26:25'!AJ23)</f>
        <v>0</v>
      </c>
      <c r="AK23" s="589"/>
      <c r="AL23" s="419">
        <f>SUM('26:25'!AL23)</f>
        <v>0</v>
      </c>
      <c r="AM23" s="419">
        <f>SUM('26:25'!AM23)</f>
        <v>0</v>
      </c>
      <c r="AN23" s="419">
        <f>SUM('26:25'!AN23)</f>
        <v>0</v>
      </c>
      <c r="AO23" s="419">
        <f>SUM('26:25'!AO23)</f>
        <v>0</v>
      </c>
      <c r="AP23" s="593"/>
      <c r="AQ23" s="419">
        <f>SUM('26:25'!AQ23)</f>
        <v>0</v>
      </c>
      <c r="AR23" s="419">
        <f>SUM('26:25'!AR23)</f>
        <v>0</v>
      </c>
      <c r="AS23" s="419">
        <f>SUM('26:25'!AS23)</f>
        <v>0</v>
      </c>
      <c r="AT23" s="419">
        <f>SUM('26:25'!AT23)</f>
        <v>0</v>
      </c>
      <c r="AU23" s="419">
        <f>SUM('26:25'!AU23)</f>
        <v>0</v>
      </c>
      <c r="AV23" s="419">
        <f>SUM('26:25'!AV23)</f>
        <v>0</v>
      </c>
      <c r="AW23" s="419">
        <f>SUM('26:25'!AW23)</f>
        <v>0</v>
      </c>
      <c r="AX23" s="419">
        <f>SUM('26:25'!AX23)</f>
        <v>243.25</v>
      </c>
      <c r="AY23" s="419">
        <f>SUM('26:25'!AY23)</f>
        <v>0</v>
      </c>
      <c r="AZ23" s="419">
        <f>SUM('26:25'!AZ23)</f>
        <v>0</v>
      </c>
      <c r="BA23" s="419">
        <f>SUM('26:25'!BA23)</f>
        <v>0</v>
      </c>
      <c r="BB23" s="419">
        <f>SUM('26:25'!BB23)</f>
        <v>0</v>
      </c>
      <c r="BC23" s="419">
        <f>SUM('26:25'!BC23)</f>
        <v>0</v>
      </c>
      <c r="BD23" s="589"/>
      <c r="BE23" s="419">
        <f>SUM('26:25'!BE23)</f>
        <v>0</v>
      </c>
      <c r="BF23" s="419">
        <f>SUM('26:25'!BF23)</f>
        <v>0</v>
      </c>
      <c r="BG23" s="419">
        <f>SUM('26:25'!BG23)</f>
        <v>0</v>
      </c>
      <c r="BH23" s="419">
        <f>SUM('26:25'!BH23)</f>
        <v>0</v>
      </c>
      <c r="BI23" s="589"/>
      <c r="BJ23" s="419">
        <f>SUM('26:25'!BJ23)</f>
        <v>0</v>
      </c>
      <c r="BK23" s="419">
        <f>SUM('26:25'!BK23)</f>
        <v>0</v>
      </c>
      <c r="BL23" s="419">
        <f>SUM('26:25'!BL23)</f>
        <v>0</v>
      </c>
      <c r="BM23" s="419">
        <f>SUM('26:25'!BM23)</f>
        <v>0</v>
      </c>
      <c r="BN23" s="419">
        <f>SUM('26:25'!BN23)</f>
        <v>0</v>
      </c>
      <c r="BO23" s="419">
        <f>SUM('26:25'!BO23)</f>
        <v>0</v>
      </c>
      <c r="BP23" s="419">
        <f>SUM('26:25'!BP23)</f>
        <v>0</v>
      </c>
      <c r="BQ23" s="419">
        <f>SUM('26:25'!BQ23)</f>
        <v>0</v>
      </c>
      <c r="BR23" s="419">
        <f>SUM('26:25'!BR23)</f>
        <v>0</v>
      </c>
      <c r="BS23" s="419">
        <f>SUM('26:25'!BS23)</f>
        <v>0</v>
      </c>
      <c r="BT23" s="419">
        <f>SUM('26:25'!BT23)</f>
        <v>0</v>
      </c>
      <c r="BU23" s="419">
        <f>SUM('26:25'!BU23)</f>
        <v>0</v>
      </c>
      <c r="BV23" s="419">
        <f>SUM('26:25'!BV23)</f>
        <v>0</v>
      </c>
      <c r="BW23" s="419">
        <f>SUM('26:25'!BW23)</f>
        <v>0</v>
      </c>
      <c r="BX23" s="813">
        <f>SUM(E23:BW23)</f>
        <v>243.25</v>
      </c>
      <c r="BY23">
        <v>197750</v>
      </c>
      <c r="BZ23">
        <v>34790</v>
      </c>
      <c r="CA23">
        <v>57380</v>
      </c>
    </row>
    <row r="24" spans="1:84" ht="19.5" customHeight="1" x14ac:dyDescent="0.25">
      <c r="A24" s="418">
        <f>'BANG LUONG 1'!A27</f>
        <v>20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>
        <f>SUM('26:25'!E24)</f>
        <v>0</v>
      </c>
      <c r="F24" s="419">
        <f>SUM('26:25'!F24)</f>
        <v>0</v>
      </c>
      <c r="G24" s="419">
        <f>SUM('26:25'!G24)</f>
        <v>0</v>
      </c>
      <c r="H24" s="419">
        <f>SUM('26:25'!H24)</f>
        <v>0</v>
      </c>
      <c r="I24" s="419">
        <f>SUM('26:25'!I24)</f>
        <v>0</v>
      </c>
      <c r="J24" s="419">
        <f>SUM('26:25'!J24)</f>
        <v>0</v>
      </c>
      <c r="K24" s="419">
        <f>SUM('26:25'!K24)</f>
        <v>0</v>
      </c>
      <c r="L24" s="419">
        <f>SUM('26:25'!L24)</f>
        <v>0</v>
      </c>
      <c r="M24" s="419">
        <f>SUM('26:25'!M24)</f>
        <v>0</v>
      </c>
      <c r="N24" s="419">
        <f>SUM('26:25'!N24)</f>
        <v>0</v>
      </c>
      <c r="O24" s="419">
        <f>SUM('26:25'!O24)</f>
        <v>0</v>
      </c>
      <c r="P24" s="419">
        <f>SUM('26:25'!P24)</f>
        <v>0</v>
      </c>
      <c r="Q24" s="419">
        <f>SUM('26:25'!Q24)</f>
        <v>0</v>
      </c>
      <c r="R24" s="419">
        <f>SUM('26:25'!R24)</f>
        <v>0</v>
      </c>
      <c r="S24" s="419">
        <f>SUM('26:25'!S24)</f>
        <v>0</v>
      </c>
      <c r="T24" s="419">
        <f>SUM('26:25'!T24)</f>
        <v>0</v>
      </c>
      <c r="U24" s="589"/>
      <c r="V24" s="419">
        <f>SUM('26:25'!V24)</f>
        <v>0</v>
      </c>
      <c r="W24" s="419">
        <f>SUM('26:25'!W24)</f>
        <v>0</v>
      </c>
      <c r="X24" s="419">
        <f>SUM('26:25'!X24)</f>
        <v>0</v>
      </c>
      <c r="Y24" s="419">
        <f>SUM('26:25'!Y24)</f>
        <v>0</v>
      </c>
      <c r="Z24" s="419">
        <f>SUM('26:25'!Z24)</f>
        <v>0</v>
      </c>
      <c r="AA24" s="419">
        <f>SUM('26:25'!AA24)</f>
        <v>0</v>
      </c>
      <c r="AB24" s="419">
        <f>SUM('26:25'!AB24)</f>
        <v>0</v>
      </c>
      <c r="AC24" s="419">
        <f>SUM('26:25'!AC24)</f>
        <v>0</v>
      </c>
      <c r="AD24" s="419">
        <f>SUM('26:25'!AD24)</f>
        <v>0</v>
      </c>
      <c r="AE24" s="419">
        <f>SUM('26:25'!AE24)</f>
        <v>0</v>
      </c>
      <c r="AF24" s="419">
        <f>SUM('26:25'!AF24)</f>
        <v>0</v>
      </c>
      <c r="AG24" s="419">
        <f>SUM('26:25'!AG24)</f>
        <v>0</v>
      </c>
      <c r="AH24" s="419">
        <f>SUM('26:25'!AH24)</f>
        <v>0</v>
      </c>
      <c r="AI24" s="419">
        <f>SUM('26:25'!AI24)</f>
        <v>0</v>
      </c>
      <c r="AJ24" s="419">
        <f>SUM('26:25'!AJ24)</f>
        <v>0</v>
      </c>
      <c r="AK24" s="589"/>
      <c r="AL24" s="419">
        <f>SUM('26:25'!AL24)</f>
        <v>0</v>
      </c>
      <c r="AM24" s="419">
        <f>SUM('26:25'!AM24)</f>
        <v>0</v>
      </c>
      <c r="AN24" s="419">
        <f>SUM('26:25'!AN24)</f>
        <v>0</v>
      </c>
      <c r="AO24" s="419">
        <f>SUM('26:25'!AO24)</f>
        <v>0</v>
      </c>
      <c r="AP24" s="593"/>
      <c r="AQ24" s="419">
        <f>SUM('26:25'!AQ24)</f>
        <v>0</v>
      </c>
      <c r="AR24" s="419">
        <f>SUM('26:25'!AR24)</f>
        <v>0</v>
      </c>
      <c r="AS24" s="419">
        <f>SUM('26:25'!AS24)</f>
        <v>0</v>
      </c>
      <c r="AT24" s="419">
        <f>SUM('26:25'!AT24)</f>
        <v>0</v>
      </c>
      <c r="AU24" s="419">
        <f>SUM('26:25'!AU24)</f>
        <v>0</v>
      </c>
      <c r="AV24" s="419">
        <f>SUM('26:25'!AV24)</f>
        <v>0</v>
      </c>
      <c r="AW24" s="419">
        <f>SUM('26:25'!AW24)</f>
        <v>0</v>
      </c>
      <c r="AX24" s="419">
        <f>SUM('26:25'!AX24)</f>
        <v>263.67</v>
      </c>
      <c r="AY24" s="419">
        <f>SUM('26:25'!AY24)</f>
        <v>0</v>
      </c>
      <c r="AZ24" s="419">
        <f>SUM('26:25'!AZ24)</f>
        <v>0</v>
      </c>
      <c r="BA24" s="419">
        <f>SUM('26:25'!BA24)</f>
        <v>0</v>
      </c>
      <c r="BB24" s="419">
        <f>SUM('26:25'!BB24)</f>
        <v>0</v>
      </c>
      <c r="BC24" s="419">
        <f>SUM('26:25'!BC24)</f>
        <v>0</v>
      </c>
      <c r="BD24" s="589"/>
      <c r="BE24" s="419">
        <f>SUM('26:25'!BE24)</f>
        <v>0</v>
      </c>
      <c r="BF24" s="419">
        <f>SUM('26:25'!BF24)</f>
        <v>0</v>
      </c>
      <c r="BG24" s="419">
        <f>SUM('26:25'!BG24)</f>
        <v>0</v>
      </c>
      <c r="BH24" s="419">
        <f>SUM('26:25'!BH24)</f>
        <v>0</v>
      </c>
      <c r="BI24" s="589"/>
      <c r="BJ24" s="419">
        <f>SUM('26:25'!BJ24)</f>
        <v>0</v>
      </c>
      <c r="BK24" s="419">
        <f>SUM('26:25'!BK24)</f>
        <v>0</v>
      </c>
      <c r="BL24" s="419">
        <f>SUM('26:25'!BL24)</f>
        <v>0</v>
      </c>
      <c r="BM24" s="419">
        <f>SUM('26:25'!BM24)</f>
        <v>0</v>
      </c>
      <c r="BN24" s="419">
        <f>SUM('26:25'!BN24)</f>
        <v>0</v>
      </c>
      <c r="BO24" s="419">
        <f>SUM('26:25'!BO24)</f>
        <v>0</v>
      </c>
      <c r="BP24" s="419">
        <f>SUM('26:25'!BP24)</f>
        <v>0</v>
      </c>
      <c r="BQ24" s="419">
        <f>SUM('26:25'!BQ24)</f>
        <v>0</v>
      </c>
      <c r="BR24" s="419">
        <f>SUM('26:25'!BR24)</f>
        <v>0</v>
      </c>
      <c r="BS24" s="419">
        <f>SUM('26:25'!BS24)</f>
        <v>0</v>
      </c>
      <c r="BT24" s="419">
        <f>SUM('26:25'!BT24)</f>
        <v>0</v>
      </c>
      <c r="BU24" s="419">
        <f>SUM('26:25'!BU24)</f>
        <v>0</v>
      </c>
      <c r="BV24" s="419">
        <f>SUM('26:25'!BV24)</f>
        <v>0</v>
      </c>
      <c r="BW24" s="419">
        <f>SUM('26:25'!BW24)</f>
        <v>0</v>
      </c>
      <c r="BX24" s="813">
        <f t="shared" si="1"/>
        <v>263.67</v>
      </c>
      <c r="BY24">
        <v>129350</v>
      </c>
      <c r="BZ24">
        <v>4720</v>
      </c>
    </row>
    <row r="25" spans="1:84" ht="19.5" customHeight="1" x14ac:dyDescent="0.25">
      <c r="A25" s="418">
        <f>'BANG LUONG 1'!A28</f>
        <v>21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>
        <f>SUM('26:25'!E25)</f>
        <v>0</v>
      </c>
      <c r="F25" s="419">
        <f>SUM('26:25'!F25)</f>
        <v>0</v>
      </c>
      <c r="G25" s="419">
        <f>SUM('26:25'!G25)</f>
        <v>0</v>
      </c>
      <c r="H25" s="419">
        <f>SUM('26:25'!H25)</f>
        <v>0</v>
      </c>
      <c r="I25" s="419">
        <f>SUM('26:25'!I25)</f>
        <v>0</v>
      </c>
      <c r="J25" s="419">
        <f>SUM('26:25'!J25)</f>
        <v>0</v>
      </c>
      <c r="K25" s="419">
        <f>SUM('26:25'!K25)</f>
        <v>0</v>
      </c>
      <c r="L25" s="419">
        <f>SUM('26:25'!L25)</f>
        <v>0</v>
      </c>
      <c r="M25" s="419">
        <f>SUM('26:25'!M25)</f>
        <v>0</v>
      </c>
      <c r="N25" s="419">
        <f>SUM('26:25'!N25)</f>
        <v>0</v>
      </c>
      <c r="O25" s="419">
        <f>SUM('26:25'!O25)</f>
        <v>0</v>
      </c>
      <c r="P25" s="419">
        <f>SUM('26:25'!P25)</f>
        <v>0</v>
      </c>
      <c r="Q25" s="419">
        <f>SUM('26:25'!Q25)</f>
        <v>0</v>
      </c>
      <c r="R25" s="419">
        <f>SUM('26:25'!R25)</f>
        <v>0</v>
      </c>
      <c r="S25" s="419">
        <f>SUM('26:25'!S25)</f>
        <v>0</v>
      </c>
      <c r="T25" s="419">
        <f>SUM('26:25'!T25)</f>
        <v>0</v>
      </c>
      <c r="U25" s="589"/>
      <c r="V25" s="419">
        <f>SUM('26:25'!V25)</f>
        <v>0</v>
      </c>
      <c r="W25" s="419">
        <f>SUM('26:25'!W25)</f>
        <v>0</v>
      </c>
      <c r="X25" s="419">
        <f>SUM('26:25'!X25)</f>
        <v>0</v>
      </c>
      <c r="Y25" s="419">
        <f>SUM('26:25'!Y25)</f>
        <v>0</v>
      </c>
      <c r="Z25" s="419">
        <f>SUM('26:25'!Z25)</f>
        <v>0</v>
      </c>
      <c r="AA25" s="419">
        <f>SUM('26:25'!AA25)</f>
        <v>0</v>
      </c>
      <c r="AB25" s="419">
        <f>SUM('26:25'!AB25)</f>
        <v>0</v>
      </c>
      <c r="AC25" s="419">
        <f>SUM('26:25'!AC25)</f>
        <v>0</v>
      </c>
      <c r="AD25" s="419">
        <f>SUM('26:25'!AD25)</f>
        <v>0</v>
      </c>
      <c r="AE25" s="419">
        <f>SUM('26:25'!AE25)</f>
        <v>0</v>
      </c>
      <c r="AF25" s="419">
        <f>SUM('26:25'!AF25)</f>
        <v>0</v>
      </c>
      <c r="AG25" s="419">
        <f>SUM('26:25'!AG25)</f>
        <v>0</v>
      </c>
      <c r="AH25" s="419">
        <f>SUM('26:25'!AH25)</f>
        <v>0</v>
      </c>
      <c r="AI25" s="419">
        <f>SUM('26:25'!AI25)</f>
        <v>0</v>
      </c>
      <c r="AJ25" s="419">
        <f>SUM('26:25'!AJ25)</f>
        <v>0</v>
      </c>
      <c r="AK25" s="589"/>
      <c r="AL25" s="419">
        <f>SUM('26:25'!AL25)</f>
        <v>0</v>
      </c>
      <c r="AM25" s="419">
        <f>SUM('26:25'!AM25)</f>
        <v>0</v>
      </c>
      <c r="AN25" s="419">
        <f>SUM('26:25'!AN25)</f>
        <v>0</v>
      </c>
      <c r="AO25" s="419">
        <f>SUM('26:25'!AO25)</f>
        <v>0</v>
      </c>
      <c r="AP25" s="593"/>
      <c r="AQ25" s="419">
        <f>SUM('26:25'!AQ25)</f>
        <v>0</v>
      </c>
      <c r="AR25" s="419">
        <f>SUM('26:25'!AR25)</f>
        <v>0</v>
      </c>
      <c r="AS25" s="419">
        <f>SUM('26:25'!AS25)</f>
        <v>0</v>
      </c>
      <c r="AT25" s="419">
        <f>SUM('26:25'!AT25)</f>
        <v>0</v>
      </c>
      <c r="AU25" s="419">
        <f>SUM('26:25'!AU25)</f>
        <v>0</v>
      </c>
      <c r="AV25" s="419">
        <f>SUM('26:25'!AV25)</f>
        <v>0</v>
      </c>
      <c r="AW25" s="419">
        <f>SUM('26:25'!AW25)</f>
        <v>0</v>
      </c>
      <c r="AX25" s="419">
        <f>SUM('26:25'!AX25)</f>
        <v>238.08</v>
      </c>
      <c r="AY25" s="419">
        <f>SUM('26:25'!AY25)</f>
        <v>0</v>
      </c>
      <c r="AZ25" s="419">
        <f>SUM('26:25'!AZ25)</f>
        <v>0</v>
      </c>
      <c r="BA25" s="419">
        <f>SUM('26:25'!BA25)</f>
        <v>0</v>
      </c>
      <c r="BB25" s="419">
        <f>SUM('26:25'!BB25)</f>
        <v>0</v>
      </c>
      <c r="BC25" s="419">
        <f>SUM('26:25'!BC25)</f>
        <v>0</v>
      </c>
      <c r="BD25" s="589"/>
      <c r="BE25" s="419">
        <f>SUM('26:25'!BE25)</f>
        <v>0</v>
      </c>
      <c r="BF25" s="419">
        <f>SUM('26:25'!BF25)</f>
        <v>0</v>
      </c>
      <c r="BG25" s="419">
        <f>SUM('26:25'!BG25)</f>
        <v>0</v>
      </c>
      <c r="BH25" s="419">
        <f>SUM('26:25'!BH25)</f>
        <v>0</v>
      </c>
      <c r="BI25" s="589"/>
      <c r="BJ25" s="419">
        <f>SUM('26:25'!BJ25)</f>
        <v>0</v>
      </c>
      <c r="BK25" s="419">
        <f>SUM('26:25'!BK25)</f>
        <v>0</v>
      </c>
      <c r="BL25" s="419">
        <f>SUM('26:25'!BL25)</f>
        <v>0</v>
      </c>
      <c r="BM25" s="419">
        <f>SUM('26:25'!BM25)</f>
        <v>0</v>
      </c>
      <c r="BN25" s="419">
        <f>SUM('26:25'!BN25)</f>
        <v>0</v>
      </c>
      <c r="BO25" s="419">
        <f>SUM('26:25'!BO25)</f>
        <v>0</v>
      </c>
      <c r="BP25" s="419">
        <f>SUM('26:25'!BP25)</f>
        <v>0</v>
      </c>
      <c r="BQ25" s="419">
        <f>SUM('26:25'!BQ25)</f>
        <v>0</v>
      </c>
      <c r="BR25" s="419">
        <f>SUM('26:25'!BR25)</f>
        <v>0</v>
      </c>
      <c r="BS25" s="419">
        <f>SUM('26:25'!BS25)</f>
        <v>0</v>
      </c>
      <c r="BT25" s="419">
        <f>SUM('26:25'!BT25)</f>
        <v>0</v>
      </c>
      <c r="BU25" s="419">
        <f>SUM('26:25'!BU25)</f>
        <v>0</v>
      </c>
      <c r="BV25" s="419">
        <f>SUM('26:25'!BV25)</f>
        <v>0</v>
      </c>
      <c r="BW25" s="419">
        <f>SUM('26:25'!BW25)</f>
        <v>0</v>
      </c>
      <c r="BX25" s="813">
        <f t="shared" si="1"/>
        <v>238.08</v>
      </c>
      <c r="BY25">
        <v>88440</v>
      </c>
      <c r="BZ25">
        <v>16780</v>
      </c>
      <c r="CE25" s="790"/>
    </row>
    <row r="26" spans="1:84" ht="19.5" customHeight="1" x14ac:dyDescent="0.25">
      <c r="A26" s="418">
        <f>'BANG LUONG 1'!A29</f>
        <v>22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>
        <f>SUM('26:25'!E26)</f>
        <v>0</v>
      </c>
      <c r="F26" s="419">
        <f>SUM('26:25'!F26)</f>
        <v>0</v>
      </c>
      <c r="G26" s="419">
        <f>SUM('26:25'!G26)</f>
        <v>0</v>
      </c>
      <c r="H26" s="419">
        <f>SUM('26:25'!H26)</f>
        <v>0</v>
      </c>
      <c r="I26" s="419">
        <f>SUM('26:25'!I26)</f>
        <v>0</v>
      </c>
      <c r="J26" s="419">
        <f>SUM('26:25'!J26)</f>
        <v>0</v>
      </c>
      <c r="K26" s="419">
        <f>SUM('26:25'!K26)</f>
        <v>0</v>
      </c>
      <c r="L26" s="419">
        <f>SUM('26:25'!L26)</f>
        <v>0</v>
      </c>
      <c r="M26" s="419">
        <f>SUM('26:25'!M26)</f>
        <v>0</v>
      </c>
      <c r="N26" s="419">
        <f>SUM('26:25'!N26)</f>
        <v>0</v>
      </c>
      <c r="O26" s="419">
        <f>SUM('26:25'!O26)</f>
        <v>0</v>
      </c>
      <c r="P26" s="419">
        <f>SUM('26:25'!P26)</f>
        <v>0</v>
      </c>
      <c r="Q26" s="419">
        <f>SUM('26:25'!Q26)</f>
        <v>0</v>
      </c>
      <c r="R26" s="419">
        <f>SUM('26:25'!R26)</f>
        <v>0</v>
      </c>
      <c r="S26" s="419">
        <f>SUM('26:25'!S26)</f>
        <v>0</v>
      </c>
      <c r="T26" s="419">
        <f>SUM('26:25'!T26)</f>
        <v>0</v>
      </c>
      <c r="U26" s="589"/>
      <c r="V26" s="419">
        <f>SUM('26:25'!V26)</f>
        <v>0</v>
      </c>
      <c r="W26" s="419">
        <f>SUM('26:25'!W26)</f>
        <v>0</v>
      </c>
      <c r="X26" s="419">
        <f>SUM('26:25'!X26)</f>
        <v>0</v>
      </c>
      <c r="Y26" s="419">
        <f>SUM('26:25'!Y26)</f>
        <v>0</v>
      </c>
      <c r="Z26" s="419">
        <f>SUM('26:25'!Z26)</f>
        <v>0</v>
      </c>
      <c r="AA26" s="419">
        <f>SUM('26:25'!AA26)</f>
        <v>0</v>
      </c>
      <c r="AB26" s="419">
        <f>SUM('26:25'!AB26)</f>
        <v>0</v>
      </c>
      <c r="AC26" s="419">
        <f>SUM('26:25'!AC26)</f>
        <v>0</v>
      </c>
      <c r="AD26" s="419">
        <f>SUM('26:25'!AD26)</f>
        <v>0</v>
      </c>
      <c r="AE26" s="419">
        <f>SUM('26:25'!AE26)</f>
        <v>0</v>
      </c>
      <c r="AF26" s="419">
        <f>SUM('26:25'!AF26)</f>
        <v>0</v>
      </c>
      <c r="AG26" s="419">
        <f>SUM('26:25'!AG26)</f>
        <v>0</v>
      </c>
      <c r="AH26" s="419">
        <f>SUM('26:25'!AH26)</f>
        <v>0</v>
      </c>
      <c r="AI26" s="419">
        <f>SUM('26:25'!AI26)</f>
        <v>0</v>
      </c>
      <c r="AJ26" s="419">
        <f>SUM('26:25'!AJ26)</f>
        <v>0</v>
      </c>
      <c r="AK26" s="589"/>
      <c r="AL26" s="419">
        <f>SUM('26:25'!AL26)</f>
        <v>0</v>
      </c>
      <c r="AM26" s="419">
        <f>SUM('26:25'!AM26)</f>
        <v>0</v>
      </c>
      <c r="AN26" s="419">
        <f>SUM('26:25'!AN26)</f>
        <v>0</v>
      </c>
      <c r="AO26" s="419">
        <f>SUM('26:25'!AO26)</f>
        <v>0</v>
      </c>
      <c r="AP26" s="593"/>
      <c r="AQ26" s="419">
        <f>SUM('26:25'!AQ26)</f>
        <v>0</v>
      </c>
      <c r="AR26" s="419">
        <f>SUM('26:25'!AR26)</f>
        <v>0</v>
      </c>
      <c r="AS26" s="419">
        <f>SUM('26:25'!AS26)</f>
        <v>0</v>
      </c>
      <c r="AT26" s="419">
        <f>SUM('26:25'!AT26)</f>
        <v>0</v>
      </c>
      <c r="AU26" s="419">
        <f>SUM('26:25'!AU26)</f>
        <v>0</v>
      </c>
      <c r="AV26" s="419">
        <f>SUM('26:25'!AV26)</f>
        <v>0</v>
      </c>
      <c r="AW26" s="419">
        <f>SUM('26:25'!AW26)</f>
        <v>309.67</v>
      </c>
      <c r="AX26" s="419">
        <f>SUM('26:25'!AX26)</f>
        <v>0</v>
      </c>
      <c r="AY26" s="419">
        <f>SUM('26:25'!AY26)</f>
        <v>0</v>
      </c>
      <c r="AZ26" s="419">
        <f>SUM('26:25'!AZ26)</f>
        <v>0</v>
      </c>
      <c r="BA26" s="419">
        <f>SUM('26:25'!BA26)</f>
        <v>0</v>
      </c>
      <c r="BB26" s="419">
        <f>SUM('26:25'!BB26)</f>
        <v>0</v>
      </c>
      <c r="BC26" s="419">
        <f>SUM('26:25'!BC26)</f>
        <v>0</v>
      </c>
      <c r="BD26" s="589"/>
      <c r="BE26" s="419">
        <f>SUM('26:25'!BE26)</f>
        <v>0</v>
      </c>
      <c r="BF26" s="419">
        <f>SUM('26:25'!BF26)</f>
        <v>0</v>
      </c>
      <c r="BG26" s="419">
        <f>SUM('26:25'!BG26)</f>
        <v>0</v>
      </c>
      <c r="BH26" s="419">
        <f>SUM('26:25'!BH26)</f>
        <v>0</v>
      </c>
      <c r="BI26" s="589"/>
      <c r="BJ26" s="419">
        <f>SUM('26:25'!BJ26)</f>
        <v>0</v>
      </c>
      <c r="BK26" s="419">
        <f>SUM('26:25'!BK26)</f>
        <v>0</v>
      </c>
      <c r="BL26" s="419">
        <f>SUM('26:25'!BL26)</f>
        <v>0</v>
      </c>
      <c r="BM26" s="419">
        <f>SUM('26:25'!BM26)</f>
        <v>0</v>
      </c>
      <c r="BN26" s="419">
        <f>SUM('26:25'!BN26)</f>
        <v>0</v>
      </c>
      <c r="BO26" s="419">
        <f>SUM('26:25'!BO26)</f>
        <v>0</v>
      </c>
      <c r="BP26" s="419">
        <f>SUM('26:25'!BP26)</f>
        <v>0</v>
      </c>
      <c r="BQ26" s="419">
        <f>SUM('26:25'!BQ26)</f>
        <v>0</v>
      </c>
      <c r="BR26" s="419">
        <f>SUM('26:25'!BR26)</f>
        <v>0</v>
      </c>
      <c r="BS26" s="419">
        <f>SUM('26:25'!BS26)</f>
        <v>0</v>
      </c>
      <c r="BT26" s="419">
        <f>SUM('26:25'!BT26)</f>
        <v>0</v>
      </c>
      <c r="BU26" s="419">
        <f>SUM('26:25'!BU26)</f>
        <v>0</v>
      </c>
      <c r="BV26" s="419">
        <f>SUM('26:25'!BV26)</f>
        <v>0</v>
      </c>
      <c r="BW26" s="419">
        <f>SUM('26:25'!BW26)</f>
        <v>0</v>
      </c>
      <c r="BX26" s="813">
        <f t="shared" si="1"/>
        <v>309.67</v>
      </c>
      <c r="BY26">
        <v>155760</v>
      </c>
      <c r="BZ26">
        <v>28800</v>
      </c>
    </row>
    <row r="27" spans="1:84" ht="19.5" customHeight="1" x14ac:dyDescent="0.25">
      <c r="A27" s="418">
        <f>'BANG LUONG 1'!A30</f>
        <v>23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>
        <f>SUM('26:25'!E27)</f>
        <v>0</v>
      </c>
      <c r="F27" s="419">
        <f>SUM('26:25'!F27)</f>
        <v>0</v>
      </c>
      <c r="G27" s="419">
        <f>SUM('26:25'!G27)</f>
        <v>0</v>
      </c>
      <c r="H27" s="419">
        <f>SUM('26:25'!H27)</f>
        <v>0</v>
      </c>
      <c r="I27" s="419">
        <f>SUM('26:25'!I27)</f>
        <v>0</v>
      </c>
      <c r="J27" s="419">
        <f>SUM('26:25'!J27)</f>
        <v>0</v>
      </c>
      <c r="K27" s="419">
        <f>SUM('26:25'!K27)</f>
        <v>0</v>
      </c>
      <c r="L27" s="419">
        <f>SUM('26:25'!L27)</f>
        <v>0</v>
      </c>
      <c r="M27" s="419">
        <f>SUM('26:25'!M27)</f>
        <v>0</v>
      </c>
      <c r="N27" s="419">
        <f>SUM('26:25'!N27)</f>
        <v>0</v>
      </c>
      <c r="O27" s="419">
        <f>SUM('26:25'!O27)</f>
        <v>0</v>
      </c>
      <c r="P27" s="419">
        <f>SUM('26:25'!P27)</f>
        <v>0</v>
      </c>
      <c r="Q27" s="419">
        <f>SUM('26:25'!Q27)</f>
        <v>0</v>
      </c>
      <c r="R27" s="419">
        <f>SUM('26:25'!R27)</f>
        <v>0</v>
      </c>
      <c r="S27" s="419">
        <f>SUM('26:25'!S27)</f>
        <v>0</v>
      </c>
      <c r="T27" s="419">
        <f>SUM('26:25'!T27)</f>
        <v>0</v>
      </c>
      <c r="U27" s="589"/>
      <c r="V27" s="419">
        <f>SUM('26:25'!V27)</f>
        <v>0</v>
      </c>
      <c r="W27" s="419">
        <f>SUM('26:25'!W27)</f>
        <v>0</v>
      </c>
      <c r="X27" s="419">
        <f>SUM('26:25'!X27)</f>
        <v>0</v>
      </c>
      <c r="Y27" s="419">
        <f>SUM('26:25'!Y27)</f>
        <v>0</v>
      </c>
      <c r="Z27" s="419">
        <f>SUM('26:25'!Z27)</f>
        <v>0</v>
      </c>
      <c r="AA27" s="419">
        <f>SUM('26:25'!AA27)</f>
        <v>0</v>
      </c>
      <c r="AB27" s="419">
        <f>SUM('26:25'!AB27)</f>
        <v>0</v>
      </c>
      <c r="AC27" s="419">
        <f>SUM('26:25'!AC27)</f>
        <v>0</v>
      </c>
      <c r="AD27" s="419">
        <f>SUM('26:25'!AD27)</f>
        <v>0</v>
      </c>
      <c r="AE27" s="419">
        <f>SUM('26:25'!AE27)</f>
        <v>0</v>
      </c>
      <c r="AF27" s="419">
        <f>SUM('26:25'!AF27)</f>
        <v>0</v>
      </c>
      <c r="AG27" s="419">
        <f>SUM('26:25'!AG27)</f>
        <v>0</v>
      </c>
      <c r="AH27" s="419">
        <f>SUM('26:25'!AH27)</f>
        <v>0</v>
      </c>
      <c r="AI27" s="419">
        <f>SUM('26:25'!AI27)</f>
        <v>0</v>
      </c>
      <c r="AJ27" s="419">
        <f>SUM('26:25'!AJ27)</f>
        <v>0</v>
      </c>
      <c r="AK27" s="589"/>
      <c r="AL27" s="419">
        <f>SUM('26:25'!AL27)</f>
        <v>0</v>
      </c>
      <c r="AM27" s="419">
        <f>SUM('26:25'!AM27)</f>
        <v>0</v>
      </c>
      <c r="AN27" s="419">
        <f>SUM('26:25'!AN27)</f>
        <v>0</v>
      </c>
      <c r="AO27" s="419">
        <f>SUM('26:25'!AO27)</f>
        <v>0</v>
      </c>
      <c r="AP27" s="593"/>
      <c r="AQ27" s="419">
        <f>SUM('26:25'!AQ27)</f>
        <v>0</v>
      </c>
      <c r="AR27" s="419">
        <f>SUM('26:25'!AR27)</f>
        <v>0</v>
      </c>
      <c r="AS27" s="419">
        <f>SUM('26:25'!AS27)</f>
        <v>0</v>
      </c>
      <c r="AT27" s="419">
        <f>SUM('26:25'!AT27)</f>
        <v>0</v>
      </c>
      <c r="AU27" s="419">
        <f>SUM('26:25'!AU27)</f>
        <v>0</v>
      </c>
      <c r="AV27" s="419">
        <f>SUM('26:25'!AV27)</f>
        <v>0</v>
      </c>
      <c r="AW27" s="419">
        <f>SUM('26:25'!AW27)</f>
        <v>0</v>
      </c>
      <c r="AX27" s="419">
        <f>SUM('26:25'!AX27)</f>
        <v>0</v>
      </c>
      <c r="AY27" s="419">
        <f>SUM('26:25'!AY27)</f>
        <v>0</v>
      </c>
      <c r="AZ27" s="419">
        <f>SUM('26:25'!AZ27)</f>
        <v>0</v>
      </c>
      <c r="BA27" s="419">
        <f>SUM('26:25'!BA27)</f>
        <v>0</v>
      </c>
      <c r="BB27" s="419">
        <f>SUM('26:25'!BB27)</f>
        <v>0</v>
      </c>
      <c r="BC27" s="419">
        <f>SUM('26:25'!BC27)</f>
        <v>0</v>
      </c>
      <c r="BD27" s="589"/>
      <c r="BE27" s="419">
        <f>SUM('26:25'!BE27)</f>
        <v>0</v>
      </c>
      <c r="BF27" s="419">
        <f>SUM('26:25'!BF27)</f>
        <v>0</v>
      </c>
      <c r="BG27" s="419">
        <f>SUM('26:25'!BG27)</f>
        <v>0</v>
      </c>
      <c r="BH27" s="419">
        <f>SUM('26:25'!BH27)</f>
        <v>0</v>
      </c>
      <c r="BI27" s="589"/>
      <c r="BJ27" s="419">
        <f>SUM('26:25'!BJ27)</f>
        <v>0</v>
      </c>
      <c r="BK27" s="419">
        <f>SUM('26:25'!BK27)</f>
        <v>0</v>
      </c>
      <c r="BL27" s="419">
        <f>SUM('26:25'!BL27)</f>
        <v>0</v>
      </c>
      <c r="BM27" s="419">
        <f>SUM('26:25'!BM27)</f>
        <v>0</v>
      </c>
      <c r="BN27" s="419">
        <f>SUM('26:25'!BN27)</f>
        <v>0</v>
      </c>
      <c r="BO27" s="419">
        <f>SUM('26:25'!BO27)</f>
        <v>0</v>
      </c>
      <c r="BP27" s="419">
        <f>SUM('26:25'!BP27)</f>
        <v>0</v>
      </c>
      <c r="BQ27" s="419">
        <f>SUM('26:25'!BQ27)</f>
        <v>0</v>
      </c>
      <c r="BR27" s="419">
        <f>SUM('26:25'!BR27)</f>
        <v>0</v>
      </c>
      <c r="BS27" s="419">
        <f>SUM('26:25'!BS27)</f>
        <v>0</v>
      </c>
      <c r="BT27" s="419">
        <f>SUM('26:25'!BT27)</f>
        <v>0</v>
      </c>
      <c r="BU27" s="419">
        <f>SUM('26:25'!BU27)</f>
        <v>0</v>
      </c>
      <c r="BV27" s="419">
        <f>SUM('26:25'!BV27)</f>
        <v>0</v>
      </c>
      <c r="BW27" s="419">
        <f>SUM('26:25'!BW27)</f>
        <v>0</v>
      </c>
      <c r="BX27" s="813">
        <f t="shared" si="1"/>
        <v>0</v>
      </c>
      <c r="BY27">
        <v>190010</v>
      </c>
      <c r="BZ27">
        <v>30100</v>
      </c>
    </row>
    <row r="28" spans="1:84" ht="19.5" customHeight="1" x14ac:dyDescent="0.25">
      <c r="A28" s="418">
        <f>'BANG LUONG 1'!A31</f>
        <v>24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>
        <f>SUM('26:25'!E28)</f>
        <v>0</v>
      </c>
      <c r="F28" s="419">
        <f>SUM('26:25'!F28)</f>
        <v>0</v>
      </c>
      <c r="G28" s="419">
        <f>SUM('26:25'!G28)</f>
        <v>0</v>
      </c>
      <c r="H28" s="419">
        <f>SUM('26:25'!H28)</f>
        <v>0</v>
      </c>
      <c r="I28" s="419">
        <f>SUM('26:25'!I28)</f>
        <v>0</v>
      </c>
      <c r="J28" s="419">
        <f>SUM('26:25'!J28)</f>
        <v>0</v>
      </c>
      <c r="K28" s="419">
        <f>SUM('26:25'!K28)</f>
        <v>0</v>
      </c>
      <c r="L28" s="419">
        <f>SUM('26:25'!L28)</f>
        <v>0</v>
      </c>
      <c r="M28" s="419">
        <f>SUM('26:25'!M28)</f>
        <v>0</v>
      </c>
      <c r="N28" s="419">
        <f>SUM('26:25'!N28)</f>
        <v>0</v>
      </c>
      <c r="O28" s="419">
        <f>SUM('26:25'!O28)</f>
        <v>0</v>
      </c>
      <c r="P28" s="419">
        <f>SUM('26:25'!P28)</f>
        <v>0</v>
      </c>
      <c r="Q28" s="419">
        <f>SUM('26:25'!Q28)</f>
        <v>0</v>
      </c>
      <c r="R28" s="419">
        <f>SUM('26:25'!R28)</f>
        <v>0</v>
      </c>
      <c r="S28" s="419">
        <f>SUM('26:25'!S28)</f>
        <v>0</v>
      </c>
      <c r="T28" s="419">
        <f>SUM('26:25'!T28)</f>
        <v>0</v>
      </c>
      <c r="U28" s="589"/>
      <c r="V28" s="419">
        <f>SUM('26:25'!V28)</f>
        <v>0</v>
      </c>
      <c r="W28" s="419">
        <f>SUM('26:25'!W28)</f>
        <v>0</v>
      </c>
      <c r="X28" s="419">
        <f>SUM('26:25'!X28)</f>
        <v>0</v>
      </c>
      <c r="Y28" s="419">
        <f>SUM('26:25'!Y28)</f>
        <v>0</v>
      </c>
      <c r="Z28" s="419">
        <f>SUM('26:25'!Z28)</f>
        <v>0</v>
      </c>
      <c r="AA28" s="419">
        <f>SUM('26:25'!AA28)</f>
        <v>0</v>
      </c>
      <c r="AB28" s="419">
        <f>SUM('26:25'!AB28)</f>
        <v>0</v>
      </c>
      <c r="AC28" s="419">
        <f>SUM('26:25'!AC28)</f>
        <v>0</v>
      </c>
      <c r="AD28" s="419">
        <f>SUM('26:25'!AD28)</f>
        <v>0</v>
      </c>
      <c r="AE28" s="419">
        <f>SUM('26:25'!AE28)</f>
        <v>0</v>
      </c>
      <c r="AF28" s="419">
        <f>SUM('26:25'!AF28)</f>
        <v>0</v>
      </c>
      <c r="AG28" s="419">
        <f>SUM('26:25'!AG28)</f>
        <v>0</v>
      </c>
      <c r="AH28" s="419">
        <f>SUM('26:25'!AH28)</f>
        <v>0</v>
      </c>
      <c r="AI28" s="419">
        <f>SUM('26:25'!AI28)</f>
        <v>0</v>
      </c>
      <c r="AJ28" s="419">
        <f>SUM('26:25'!AJ28)</f>
        <v>0</v>
      </c>
      <c r="AK28" s="589"/>
      <c r="AL28" s="419">
        <f>SUM('26:25'!AL28)</f>
        <v>0</v>
      </c>
      <c r="AM28" s="419">
        <f>SUM('26:25'!AM28)</f>
        <v>0</v>
      </c>
      <c r="AN28" s="419">
        <f>SUM('26:25'!AN28)</f>
        <v>0</v>
      </c>
      <c r="AO28" s="419">
        <f>SUM('26:25'!AO28)</f>
        <v>0</v>
      </c>
      <c r="AP28" s="593"/>
      <c r="AQ28" s="419">
        <f>SUM('26:25'!AQ28)</f>
        <v>0</v>
      </c>
      <c r="AR28" s="419">
        <f>SUM('26:25'!AR28)</f>
        <v>0</v>
      </c>
      <c r="AS28" s="419">
        <f>SUM('26:25'!AS28)</f>
        <v>0</v>
      </c>
      <c r="AT28" s="419">
        <f>SUM('26:25'!AT28)</f>
        <v>0</v>
      </c>
      <c r="AU28" s="419">
        <f>SUM('26:25'!AU28)</f>
        <v>0</v>
      </c>
      <c r="AV28" s="419">
        <f>SUM('26:25'!AV28)</f>
        <v>0</v>
      </c>
      <c r="AW28" s="419">
        <f>SUM('26:25'!AW28)</f>
        <v>0</v>
      </c>
      <c r="AX28" s="419">
        <f>SUM('26:25'!AX28)</f>
        <v>0</v>
      </c>
      <c r="AY28" s="419">
        <f>SUM('26:25'!AY28)</f>
        <v>0</v>
      </c>
      <c r="AZ28" s="419">
        <f>SUM('26:25'!AZ28)</f>
        <v>282.08</v>
      </c>
      <c r="BA28" s="419">
        <f>SUM('26:25'!BA28)</f>
        <v>0</v>
      </c>
      <c r="BB28" s="419">
        <f>SUM('26:25'!BB28)</f>
        <v>0</v>
      </c>
      <c r="BC28" s="419">
        <f>SUM('26:25'!BC28)</f>
        <v>0</v>
      </c>
      <c r="BD28" s="589"/>
      <c r="BE28" s="419">
        <f>SUM('26:25'!BE28)</f>
        <v>0</v>
      </c>
      <c r="BF28" s="419">
        <f>SUM('26:25'!BF28)</f>
        <v>0</v>
      </c>
      <c r="BG28" s="419">
        <f>SUM('26:25'!BG28)</f>
        <v>0</v>
      </c>
      <c r="BH28" s="419">
        <f>SUM('26:25'!BH28)</f>
        <v>0</v>
      </c>
      <c r="BI28" s="589"/>
      <c r="BJ28" s="419">
        <f>SUM('26:25'!BJ28)</f>
        <v>0</v>
      </c>
      <c r="BK28" s="419">
        <f>SUM('26:25'!BK28)</f>
        <v>0</v>
      </c>
      <c r="BL28" s="419">
        <f>SUM('26:25'!BL28)</f>
        <v>0</v>
      </c>
      <c r="BM28" s="419">
        <f>SUM('26:25'!BM28)</f>
        <v>0</v>
      </c>
      <c r="BN28" s="419">
        <f>SUM('26:25'!BN28)</f>
        <v>0</v>
      </c>
      <c r="BO28" s="419">
        <f>SUM('26:25'!BO28)</f>
        <v>0</v>
      </c>
      <c r="BP28" s="419">
        <f>SUM('26:25'!BP28)</f>
        <v>0</v>
      </c>
      <c r="BQ28" s="419">
        <f>SUM('26:25'!BQ28)</f>
        <v>0</v>
      </c>
      <c r="BR28" s="419">
        <f>SUM('26:25'!BR28)</f>
        <v>0</v>
      </c>
      <c r="BS28" s="419">
        <f>SUM('26:25'!BS28)</f>
        <v>0</v>
      </c>
      <c r="BT28" s="419">
        <f>SUM('26:25'!BT28)</f>
        <v>0</v>
      </c>
      <c r="BU28" s="419">
        <f>SUM('26:25'!BU28)</f>
        <v>0</v>
      </c>
      <c r="BV28" s="419">
        <f>SUM('26:25'!BV28)</f>
        <v>0</v>
      </c>
      <c r="BW28" s="419">
        <f>SUM('26:25'!BW28)</f>
        <v>0</v>
      </c>
      <c r="BX28" s="813">
        <f t="shared" si="1"/>
        <v>282.08</v>
      </c>
      <c r="BY28">
        <v>78380</v>
      </c>
      <c r="BZ28">
        <v>72460</v>
      </c>
      <c r="CA28">
        <v>44330</v>
      </c>
    </row>
    <row r="29" spans="1:84" ht="19.5" customHeight="1" x14ac:dyDescent="0.25">
      <c r="A29" s="418">
        <f>'BANG LUONG 1'!A32</f>
        <v>25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>
        <f>SUM('26:25'!E29)</f>
        <v>0</v>
      </c>
      <c r="F29" s="419">
        <f>SUM('26:25'!F29)</f>
        <v>0</v>
      </c>
      <c r="G29" s="419">
        <f>SUM('26:25'!G29)</f>
        <v>0</v>
      </c>
      <c r="H29" s="419">
        <f>SUM('26:25'!H29)</f>
        <v>0</v>
      </c>
      <c r="I29" s="419">
        <f>SUM('26:25'!I29)</f>
        <v>0</v>
      </c>
      <c r="J29" s="419">
        <f>SUM('26:25'!J29)</f>
        <v>0</v>
      </c>
      <c r="K29" s="419">
        <f>SUM('26:25'!K29)</f>
        <v>0</v>
      </c>
      <c r="L29" s="419">
        <f>SUM('26:25'!L29)</f>
        <v>0</v>
      </c>
      <c r="M29" s="419">
        <f>SUM('26:25'!M29)</f>
        <v>0</v>
      </c>
      <c r="N29" s="419">
        <f>SUM('26:25'!N29)</f>
        <v>0</v>
      </c>
      <c r="O29" s="419">
        <f>SUM('26:25'!O29)</f>
        <v>0</v>
      </c>
      <c r="P29" s="419">
        <f>SUM('26:25'!P29)</f>
        <v>0</v>
      </c>
      <c r="Q29" s="419">
        <f>SUM('26:25'!Q29)</f>
        <v>0</v>
      </c>
      <c r="R29" s="419">
        <f>SUM('26:25'!R29)</f>
        <v>0</v>
      </c>
      <c r="S29" s="419">
        <f>SUM('26:25'!S29)</f>
        <v>0</v>
      </c>
      <c r="T29" s="419">
        <f>SUM('26:25'!T29)</f>
        <v>0</v>
      </c>
      <c r="U29" s="589"/>
      <c r="V29" s="419">
        <f>SUM('26:25'!V29)</f>
        <v>0</v>
      </c>
      <c r="W29" s="419">
        <f>SUM('26:25'!W29)</f>
        <v>0</v>
      </c>
      <c r="X29" s="419">
        <f>SUM('26:25'!X29)</f>
        <v>0</v>
      </c>
      <c r="Y29" s="419">
        <f>SUM('26:25'!Y29)</f>
        <v>0</v>
      </c>
      <c r="Z29" s="419">
        <f>SUM('26:25'!Z29)</f>
        <v>0</v>
      </c>
      <c r="AA29" s="419">
        <f>SUM('26:25'!AA29)</f>
        <v>0</v>
      </c>
      <c r="AB29" s="419">
        <f>SUM('26:25'!AB29)</f>
        <v>0</v>
      </c>
      <c r="AC29" s="419">
        <f>SUM('26:25'!AC29)</f>
        <v>0</v>
      </c>
      <c r="AD29" s="419">
        <f>SUM('26:25'!AD29)</f>
        <v>0</v>
      </c>
      <c r="AE29" s="419">
        <f>SUM('26:25'!AE29)</f>
        <v>0</v>
      </c>
      <c r="AF29" s="419">
        <f>SUM('26:25'!AF29)</f>
        <v>0</v>
      </c>
      <c r="AG29" s="419">
        <f>SUM('26:25'!AG29)</f>
        <v>0</v>
      </c>
      <c r="AH29" s="419">
        <f>SUM('26:25'!AH29)</f>
        <v>0</v>
      </c>
      <c r="AI29" s="419">
        <f>SUM('26:25'!AI29)</f>
        <v>0</v>
      </c>
      <c r="AJ29" s="419">
        <f>SUM('26:25'!AJ29)</f>
        <v>0</v>
      </c>
      <c r="AK29" s="589"/>
      <c r="AL29" s="419">
        <f>SUM('26:25'!AL29)</f>
        <v>0</v>
      </c>
      <c r="AM29" s="419">
        <f>SUM('26:25'!AM29)</f>
        <v>0</v>
      </c>
      <c r="AN29" s="419">
        <f>SUM('26:25'!AN29)</f>
        <v>0</v>
      </c>
      <c r="AO29" s="419">
        <f>SUM('26:25'!AO29)</f>
        <v>0</v>
      </c>
      <c r="AP29" s="593"/>
      <c r="AQ29" s="419">
        <f>SUM('26:25'!AQ29)</f>
        <v>0</v>
      </c>
      <c r="AR29" s="419">
        <f>SUM('26:25'!AR29)</f>
        <v>0</v>
      </c>
      <c r="AS29" s="419">
        <f>SUM('26:25'!AS29)</f>
        <v>0</v>
      </c>
      <c r="AT29" s="419">
        <f>SUM('26:25'!AT29)</f>
        <v>0</v>
      </c>
      <c r="AU29" s="419">
        <f>SUM('26:25'!AU29)</f>
        <v>0</v>
      </c>
      <c r="AV29" s="419">
        <f>SUM('26:25'!AV29)</f>
        <v>0</v>
      </c>
      <c r="AW29" s="419">
        <f>SUM('26:25'!AW29)</f>
        <v>0</v>
      </c>
      <c r="AX29" s="419">
        <f>SUM('26:25'!AX29)</f>
        <v>0</v>
      </c>
      <c r="AY29" s="419">
        <f>SUM('26:25'!AY29)</f>
        <v>12.83</v>
      </c>
      <c r="AZ29" s="419">
        <f>SUM('26:25'!AZ29)</f>
        <v>147.75</v>
      </c>
      <c r="BA29" s="419">
        <f>SUM('26:25'!BA29)</f>
        <v>0</v>
      </c>
      <c r="BB29" s="419">
        <f>SUM('26:25'!BB29)</f>
        <v>0</v>
      </c>
      <c r="BC29" s="419">
        <f>SUM('26:25'!BC29)</f>
        <v>0</v>
      </c>
      <c r="BD29" s="589"/>
      <c r="BE29" s="419">
        <f>SUM('26:25'!BE29)</f>
        <v>0</v>
      </c>
      <c r="BF29" s="419">
        <f>SUM('26:25'!BF29)</f>
        <v>0</v>
      </c>
      <c r="BG29" s="419">
        <f>SUM('26:25'!BG29)</f>
        <v>0</v>
      </c>
      <c r="BH29" s="419">
        <f>SUM('26:25'!BH29)</f>
        <v>0</v>
      </c>
      <c r="BI29" s="589"/>
      <c r="BJ29" s="419">
        <f>SUM('26:25'!BJ29)</f>
        <v>0</v>
      </c>
      <c r="BK29" s="419">
        <f>SUM('26:25'!BK29)</f>
        <v>240</v>
      </c>
      <c r="BL29" s="419">
        <f>SUM('26:25'!BL29)</f>
        <v>0</v>
      </c>
      <c r="BM29" s="419">
        <f>SUM('26:25'!BM29)</f>
        <v>0</v>
      </c>
      <c r="BN29" s="419">
        <f>SUM('26:25'!BN29)</f>
        <v>0</v>
      </c>
      <c r="BO29" s="419">
        <f>SUM('26:25'!BO29)</f>
        <v>0</v>
      </c>
      <c r="BP29" s="419">
        <f>SUM('26:25'!BP29)</f>
        <v>0</v>
      </c>
      <c r="BQ29" s="419">
        <f>SUM('26:25'!BQ29)</f>
        <v>0</v>
      </c>
      <c r="BR29" s="419">
        <f>SUM('26:25'!BR29)</f>
        <v>0</v>
      </c>
      <c r="BS29" s="419">
        <f>SUM('26:25'!BS29)</f>
        <v>0</v>
      </c>
      <c r="BT29" s="419">
        <f>SUM('26:25'!BT29)</f>
        <v>0</v>
      </c>
      <c r="BU29" s="419">
        <f>SUM('26:25'!BU29)</f>
        <v>0</v>
      </c>
      <c r="BV29" s="419">
        <f>SUM('26:25'!BV29)</f>
        <v>0</v>
      </c>
      <c r="BW29" s="419">
        <f>SUM('26:25'!BW29)</f>
        <v>0</v>
      </c>
      <c r="BX29" s="813">
        <f t="shared" si="1"/>
        <v>400.58000000000004</v>
      </c>
      <c r="BY29">
        <v>200940</v>
      </c>
      <c r="BZ29">
        <v>109730</v>
      </c>
      <c r="CA29">
        <v>17890</v>
      </c>
    </row>
    <row r="30" spans="1:84" ht="19.5" customHeight="1" x14ac:dyDescent="0.25">
      <c r="A30" s="418">
        <f>'BANG LUONG 1'!A33</f>
        <v>26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>
        <f>SUM('26:25'!E30)</f>
        <v>0</v>
      </c>
      <c r="F30" s="419">
        <f>SUM('26:25'!F30)</f>
        <v>0</v>
      </c>
      <c r="G30" s="419">
        <f>SUM('26:25'!G30)</f>
        <v>0</v>
      </c>
      <c r="H30" s="419">
        <f>SUM('26:25'!H30)</f>
        <v>0</v>
      </c>
      <c r="I30" s="419">
        <f>SUM('26:25'!I30)</f>
        <v>0</v>
      </c>
      <c r="J30" s="419">
        <f>SUM('26:25'!J30)</f>
        <v>0</v>
      </c>
      <c r="K30" s="419">
        <f>SUM('26:25'!K30)</f>
        <v>0</v>
      </c>
      <c r="L30" s="419">
        <f>SUM('26:25'!L30)</f>
        <v>0</v>
      </c>
      <c r="M30" s="419">
        <f>SUM('26:25'!M30)</f>
        <v>0</v>
      </c>
      <c r="N30" s="419">
        <f>SUM('26:25'!N30)</f>
        <v>0</v>
      </c>
      <c r="O30" s="419">
        <f>SUM('26:25'!O30)</f>
        <v>0</v>
      </c>
      <c r="P30" s="419">
        <f>SUM('26:25'!P30)</f>
        <v>0</v>
      </c>
      <c r="Q30" s="419">
        <f>SUM('26:25'!Q30)</f>
        <v>0</v>
      </c>
      <c r="R30" s="419">
        <f>SUM('26:25'!R30)</f>
        <v>0</v>
      </c>
      <c r="S30" s="419">
        <f>SUM('26:25'!S30)</f>
        <v>0</v>
      </c>
      <c r="T30" s="419">
        <f>SUM('26:25'!T30)</f>
        <v>0</v>
      </c>
      <c r="U30" s="589"/>
      <c r="V30" s="419">
        <f>SUM('26:25'!V30)</f>
        <v>0</v>
      </c>
      <c r="W30" s="419">
        <f>SUM('26:25'!W30)</f>
        <v>0</v>
      </c>
      <c r="X30" s="419">
        <f>SUM('26:25'!X30)</f>
        <v>0</v>
      </c>
      <c r="Y30" s="419">
        <f>SUM('26:25'!Y30)</f>
        <v>0</v>
      </c>
      <c r="Z30" s="419">
        <f>SUM('26:25'!Z30)</f>
        <v>0</v>
      </c>
      <c r="AA30" s="419">
        <f>SUM('26:25'!AA30)</f>
        <v>0</v>
      </c>
      <c r="AB30" s="419">
        <f>SUM('26:25'!AB30)</f>
        <v>0</v>
      </c>
      <c r="AC30" s="419">
        <f>SUM('26:25'!AC30)</f>
        <v>0</v>
      </c>
      <c r="AD30" s="419">
        <f>SUM('26:25'!AD30)</f>
        <v>0</v>
      </c>
      <c r="AE30" s="419">
        <f>SUM('26:25'!AE30)</f>
        <v>0</v>
      </c>
      <c r="AF30" s="419">
        <f>SUM('26:25'!AF30)</f>
        <v>0</v>
      </c>
      <c r="AG30" s="419">
        <f>SUM('26:25'!AG30)</f>
        <v>0</v>
      </c>
      <c r="AH30" s="419">
        <f>SUM('26:25'!AH30)</f>
        <v>0</v>
      </c>
      <c r="AI30" s="419">
        <f>SUM('26:25'!AI30)</f>
        <v>0</v>
      </c>
      <c r="AJ30" s="419">
        <f>SUM('26:25'!AJ30)</f>
        <v>0</v>
      </c>
      <c r="AK30" s="589"/>
      <c r="AL30" s="419">
        <f>SUM('26:25'!AL30)</f>
        <v>0</v>
      </c>
      <c r="AM30" s="419">
        <f>SUM('26:25'!AM30)</f>
        <v>0</v>
      </c>
      <c r="AN30" s="419">
        <f>SUM('26:25'!AN30)</f>
        <v>0</v>
      </c>
      <c r="AO30" s="419">
        <f>SUM('26:25'!AO30)</f>
        <v>0</v>
      </c>
      <c r="AP30" s="593"/>
      <c r="AQ30" s="419">
        <f>SUM('26:25'!AQ30)</f>
        <v>0</v>
      </c>
      <c r="AR30" s="419">
        <f>SUM('26:25'!AR30)</f>
        <v>0</v>
      </c>
      <c r="AS30" s="419">
        <f>SUM('26:25'!AS30)</f>
        <v>0</v>
      </c>
      <c r="AT30" s="419">
        <f>SUM('26:25'!AT30)</f>
        <v>0</v>
      </c>
      <c r="AU30" s="419">
        <f>SUM('26:25'!AU30)</f>
        <v>0</v>
      </c>
      <c r="AV30" s="419">
        <f>SUM('26:25'!AV30)</f>
        <v>0</v>
      </c>
      <c r="AW30" s="419">
        <f>SUM('26:25'!AW30)</f>
        <v>0</v>
      </c>
      <c r="AX30" s="419">
        <f>SUM('26:25'!AX30)</f>
        <v>0</v>
      </c>
      <c r="AY30" s="419">
        <f>SUM('26:25'!AY30)</f>
        <v>0</v>
      </c>
      <c r="AZ30" s="419">
        <f>SUM('26:25'!AZ30)</f>
        <v>105.83</v>
      </c>
      <c r="BA30" s="419">
        <f>SUM('26:25'!BA30)</f>
        <v>0</v>
      </c>
      <c r="BB30" s="419">
        <f>SUM('26:25'!BB30)</f>
        <v>0</v>
      </c>
      <c r="BC30" s="419">
        <f>SUM('26:25'!BC30)</f>
        <v>0</v>
      </c>
      <c r="BD30" s="589"/>
      <c r="BE30" s="419">
        <f>SUM('26:25'!BE30)</f>
        <v>0</v>
      </c>
      <c r="BF30" s="419">
        <f>SUM('26:25'!BF30)</f>
        <v>0</v>
      </c>
      <c r="BG30" s="419">
        <f>SUM('26:25'!BG30)</f>
        <v>0</v>
      </c>
      <c r="BH30" s="419">
        <f>SUM('26:25'!BH30)</f>
        <v>0</v>
      </c>
      <c r="BI30" s="589"/>
      <c r="BJ30" s="419">
        <f>SUM('26:25'!BJ30)</f>
        <v>0</v>
      </c>
      <c r="BK30" s="419">
        <f>SUM('26:25'!BK30)</f>
        <v>0</v>
      </c>
      <c r="BL30" s="419">
        <f>SUM('26:25'!BL30)</f>
        <v>0</v>
      </c>
      <c r="BM30" s="419">
        <f>SUM('26:25'!BM30)</f>
        <v>0</v>
      </c>
      <c r="BN30" s="419">
        <f>SUM('26:25'!BN30)</f>
        <v>0</v>
      </c>
      <c r="BO30" s="419">
        <f>SUM('26:25'!BO30)</f>
        <v>0</v>
      </c>
      <c r="BP30" s="419">
        <f>SUM('26:25'!BP30)</f>
        <v>0</v>
      </c>
      <c r="BQ30" s="419">
        <f>SUM('26:25'!BQ30)</f>
        <v>0</v>
      </c>
      <c r="BR30" s="419">
        <f>SUM('26:25'!BR30)</f>
        <v>0</v>
      </c>
      <c r="BS30" s="419">
        <f>SUM('26:25'!BS30)</f>
        <v>0</v>
      </c>
      <c r="BT30" s="419">
        <f>SUM('26:25'!BT30)</f>
        <v>0</v>
      </c>
      <c r="BU30" s="419">
        <f>SUM('26:25'!BU30)</f>
        <v>0</v>
      </c>
      <c r="BV30" s="419">
        <f>SUM('26:25'!BV30)</f>
        <v>0</v>
      </c>
      <c r="BW30" s="419">
        <f>SUM('26:25'!BW30)</f>
        <v>0</v>
      </c>
      <c r="BX30" s="813">
        <f t="shared" si="1"/>
        <v>105.83</v>
      </c>
      <c r="BY30">
        <v>146880</v>
      </c>
      <c r="BZ30">
        <v>16440</v>
      </c>
    </row>
    <row r="31" spans="1:84" ht="19.5" customHeight="1" x14ac:dyDescent="0.25">
      <c r="A31" s="418">
        <f>'BANG LUONG 1'!A34</f>
        <v>27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>
        <f>SUM('26:25'!E31)</f>
        <v>0</v>
      </c>
      <c r="F31" s="419">
        <f>SUM('26:25'!F31)</f>
        <v>0</v>
      </c>
      <c r="G31" s="419">
        <f>SUM('26:25'!G31)</f>
        <v>0</v>
      </c>
      <c r="H31" s="419">
        <f>SUM('26:25'!H31)</f>
        <v>0</v>
      </c>
      <c r="I31" s="419">
        <f>SUM('26:25'!I31)</f>
        <v>0</v>
      </c>
      <c r="J31" s="419">
        <f>SUM('26:25'!J31)</f>
        <v>0</v>
      </c>
      <c r="K31" s="419">
        <f>SUM('26:25'!K31)</f>
        <v>0</v>
      </c>
      <c r="L31" s="419">
        <f>SUM('26:25'!L31)</f>
        <v>0</v>
      </c>
      <c r="M31" s="419">
        <f>SUM('26:25'!M31)</f>
        <v>0</v>
      </c>
      <c r="N31" s="419">
        <f>SUM('26:25'!N31)</f>
        <v>0</v>
      </c>
      <c r="O31" s="419">
        <f>SUM('26:25'!O31)</f>
        <v>0</v>
      </c>
      <c r="P31" s="419">
        <f>SUM('26:25'!P31)</f>
        <v>0</v>
      </c>
      <c r="Q31" s="419">
        <f>SUM('26:25'!Q31)</f>
        <v>0</v>
      </c>
      <c r="R31" s="419">
        <f>SUM('26:25'!R31)</f>
        <v>0</v>
      </c>
      <c r="S31" s="419">
        <f>SUM('26:25'!S31)</f>
        <v>0</v>
      </c>
      <c r="T31" s="419">
        <f>SUM('26:25'!T31)</f>
        <v>0</v>
      </c>
      <c r="U31" s="589"/>
      <c r="V31" s="419">
        <f>SUM('26:25'!V31)</f>
        <v>0</v>
      </c>
      <c r="W31" s="419">
        <f>SUM('26:25'!W31)</f>
        <v>0</v>
      </c>
      <c r="X31" s="419">
        <f>SUM('26:25'!X31)</f>
        <v>0</v>
      </c>
      <c r="Y31" s="419">
        <f>SUM('26:25'!Y31)</f>
        <v>0</v>
      </c>
      <c r="Z31" s="419">
        <f>SUM('26:25'!Z31)</f>
        <v>0</v>
      </c>
      <c r="AA31" s="419">
        <f>SUM('26:25'!AA31)</f>
        <v>0</v>
      </c>
      <c r="AB31" s="419">
        <f>SUM('26:25'!AB31)</f>
        <v>0</v>
      </c>
      <c r="AC31" s="419">
        <f>SUM('26:25'!AC31)</f>
        <v>0</v>
      </c>
      <c r="AD31" s="419">
        <f>SUM('26:25'!AD31)</f>
        <v>0</v>
      </c>
      <c r="AE31" s="419">
        <f>SUM('26:25'!AE31)</f>
        <v>0</v>
      </c>
      <c r="AF31" s="419">
        <f>SUM('26:25'!AF31)</f>
        <v>0</v>
      </c>
      <c r="AG31" s="419">
        <f>SUM('26:25'!AG31)</f>
        <v>0</v>
      </c>
      <c r="AH31" s="419">
        <f>SUM('26:25'!AH31)</f>
        <v>0</v>
      </c>
      <c r="AI31" s="419">
        <f>SUM('26:25'!AI31)</f>
        <v>0</v>
      </c>
      <c r="AJ31" s="419">
        <f>SUM('26:25'!AJ31)</f>
        <v>0</v>
      </c>
      <c r="AK31" s="589"/>
      <c r="AL31" s="419">
        <f>SUM('26:25'!AL31)</f>
        <v>0</v>
      </c>
      <c r="AM31" s="419">
        <f>SUM('26:25'!AM31)</f>
        <v>0</v>
      </c>
      <c r="AN31" s="419">
        <f>SUM('26:25'!AN31)</f>
        <v>0</v>
      </c>
      <c r="AO31" s="419">
        <f>SUM('26:25'!AO31)</f>
        <v>0</v>
      </c>
      <c r="AP31" s="593"/>
      <c r="AQ31" s="419">
        <f>SUM('26:25'!AQ31)</f>
        <v>0</v>
      </c>
      <c r="AR31" s="419">
        <f>SUM('26:25'!AR31)</f>
        <v>0</v>
      </c>
      <c r="AS31" s="419">
        <f>SUM('26:25'!AS31)</f>
        <v>0</v>
      </c>
      <c r="AT31" s="419">
        <f>SUM('26:25'!AT31)</f>
        <v>209.67</v>
      </c>
      <c r="AU31" s="419">
        <f>SUM('26:25'!AU31)</f>
        <v>0</v>
      </c>
      <c r="AV31" s="419">
        <f>SUM('26:25'!AV31)</f>
        <v>0</v>
      </c>
      <c r="AW31" s="419">
        <f>SUM('26:25'!AW31)</f>
        <v>0</v>
      </c>
      <c r="AX31" s="419">
        <f>SUM('26:25'!AX31)</f>
        <v>0</v>
      </c>
      <c r="AY31" s="419">
        <f>SUM('26:25'!AY31)</f>
        <v>0</v>
      </c>
      <c r="AZ31" s="419">
        <f>SUM('26:25'!AZ31)</f>
        <v>0</v>
      </c>
      <c r="BA31" s="419">
        <f>SUM('26:25'!BA31)</f>
        <v>0</v>
      </c>
      <c r="BB31" s="419">
        <f>SUM('26:25'!BB31)</f>
        <v>0</v>
      </c>
      <c r="BC31" s="419">
        <f>SUM('26:25'!BC31)</f>
        <v>0</v>
      </c>
      <c r="BD31" s="589"/>
      <c r="BE31" s="419">
        <f>SUM('26:25'!BE31)</f>
        <v>0</v>
      </c>
      <c r="BF31" s="419">
        <f>SUM('26:25'!BF31)</f>
        <v>0</v>
      </c>
      <c r="BG31" s="419">
        <f>SUM('26:25'!BG31)</f>
        <v>0</v>
      </c>
      <c r="BH31" s="419">
        <f>SUM('26:25'!BH31)</f>
        <v>0</v>
      </c>
      <c r="BI31" s="589"/>
      <c r="BJ31" s="419">
        <f>SUM('26:25'!BJ31)</f>
        <v>0</v>
      </c>
      <c r="BK31" s="419">
        <f>SUM('26:25'!BK31)</f>
        <v>0</v>
      </c>
      <c r="BL31" s="419">
        <f>SUM('26:25'!BL31)</f>
        <v>0</v>
      </c>
      <c r="BM31" s="419">
        <f>SUM('26:25'!BM31)</f>
        <v>0</v>
      </c>
      <c r="BN31" s="419">
        <f>SUM('26:25'!BN31)</f>
        <v>0</v>
      </c>
      <c r="BO31" s="419">
        <f>SUM('26:25'!BO31)</f>
        <v>0</v>
      </c>
      <c r="BP31" s="419">
        <f>SUM('26:25'!BP31)</f>
        <v>0</v>
      </c>
      <c r="BQ31" s="419">
        <f>SUM('26:25'!BQ31)</f>
        <v>0</v>
      </c>
      <c r="BR31" s="419">
        <f>SUM('26:25'!BR31)</f>
        <v>0</v>
      </c>
      <c r="BS31" s="419">
        <f>SUM('26:25'!BS31)</f>
        <v>0</v>
      </c>
      <c r="BT31" s="419">
        <f>SUM('26:25'!BT31)</f>
        <v>0</v>
      </c>
      <c r="BU31" s="419">
        <f>SUM('26:25'!BU31)</f>
        <v>0</v>
      </c>
      <c r="BV31" s="419">
        <f>SUM('26:25'!BV31)</f>
        <v>0</v>
      </c>
      <c r="BW31" s="419">
        <f>SUM('26:25'!BW31)</f>
        <v>0</v>
      </c>
      <c r="BX31" s="813">
        <f t="shared" si="1"/>
        <v>209.67</v>
      </c>
      <c r="BY31">
        <v>85970</v>
      </c>
      <c r="CA31">
        <v>50390</v>
      </c>
    </row>
    <row r="32" spans="1:84" ht="19.5" customHeight="1" x14ac:dyDescent="0.25">
      <c r="A32" s="418">
        <f>'BANG LUONG 1'!A18</f>
        <v>12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>
        <f>SUM('26:25'!E32)</f>
        <v>0</v>
      </c>
      <c r="F32" s="419">
        <f>SUM('26:25'!F32)</f>
        <v>0</v>
      </c>
      <c r="G32" s="419">
        <f>SUM('26:25'!G32)</f>
        <v>0</v>
      </c>
      <c r="H32" s="419">
        <f>SUM('26:25'!H32)</f>
        <v>0</v>
      </c>
      <c r="I32" s="419">
        <f>SUM('26:25'!I32)</f>
        <v>0</v>
      </c>
      <c r="J32" s="419">
        <f>SUM('26:25'!J32)</f>
        <v>0</v>
      </c>
      <c r="K32" s="419">
        <f>SUM('26:25'!K32)</f>
        <v>0</v>
      </c>
      <c r="L32" s="419">
        <f>SUM('26:25'!L32)</f>
        <v>0</v>
      </c>
      <c r="M32" s="419">
        <f>SUM('26:25'!M32)</f>
        <v>0</v>
      </c>
      <c r="N32" s="419">
        <f>SUM('26:25'!N32)</f>
        <v>0</v>
      </c>
      <c r="O32" s="419">
        <f>SUM('26:25'!O32)</f>
        <v>0</v>
      </c>
      <c r="P32" s="419">
        <f>SUM('26:25'!P32)</f>
        <v>0</v>
      </c>
      <c r="Q32" s="419">
        <f>SUM('26:25'!Q32)</f>
        <v>0</v>
      </c>
      <c r="R32" s="419">
        <f>SUM('26:25'!R32)</f>
        <v>0</v>
      </c>
      <c r="S32" s="419">
        <f>SUM('26:25'!S32)</f>
        <v>0</v>
      </c>
      <c r="T32" s="419">
        <f>SUM('26:25'!T32)</f>
        <v>0</v>
      </c>
      <c r="U32" s="589"/>
      <c r="V32" s="419">
        <f>SUM('26:25'!V32)</f>
        <v>0</v>
      </c>
      <c r="W32" s="419">
        <f>SUM('26:25'!W32)</f>
        <v>0</v>
      </c>
      <c r="X32" s="419">
        <f>SUM('26:25'!X32)</f>
        <v>0</v>
      </c>
      <c r="Y32" s="419">
        <f>SUM('26:25'!Y32)</f>
        <v>0</v>
      </c>
      <c r="Z32" s="419">
        <f>SUM('26:25'!Z32)</f>
        <v>0</v>
      </c>
      <c r="AA32" s="419">
        <f>SUM('26:25'!AA32)</f>
        <v>0</v>
      </c>
      <c r="AB32" s="419">
        <f>SUM('26:25'!AB32)</f>
        <v>0</v>
      </c>
      <c r="AC32" s="419">
        <f>SUM('26:25'!AC32)</f>
        <v>0</v>
      </c>
      <c r="AD32" s="419">
        <f>SUM('26:25'!AD32)</f>
        <v>0</v>
      </c>
      <c r="AE32" s="419">
        <f>SUM('26:25'!AE32)</f>
        <v>0</v>
      </c>
      <c r="AF32" s="419">
        <f>SUM('26:25'!AF32)</f>
        <v>0</v>
      </c>
      <c r="AG32" s="419">
        <f>SUM('26:25'!AG32)</f>
        <v>0</v>
      </c>
      <c r="AH32" s="419">
        <f>SUM('26:25'!AH32)</f>
        <v>0</v>
      </c>
      <c r="AI32" s="419">
        <f>SUM('26:25'!AI32)</f>
        <v>0</v>
      </c>
      <c r="AJ32" s="419">
        <f>SUM('26:25'!AJ32)</f>
        <v>0</v>
      </c>
      <c r="AK32" s="589"/>
      <c r="AL32" s="419">
        <f>SUM('26:25'!AL32)</f>
        <v>500320</v>
      </c>
      <c r="AM32" s="419">
        <f>SUM('26:25'!AM32)</f>
        <v>132465.55555555556</v>
      </c>
      <c r="AN32" s="419">
        <f>SUM('26:25'!AN32)</f>
        <v>0</v>
      </c>
      <c r="AO32" s="419">
        <f>SUM('26:25'!AO32)</f>
        <v>170950</v>
      </c>
      <c r="AP32" s="593"/>
      <c r="AQ32" s="419">
        <f>SUM('26:25'!AQ32)</f>
        <v>0</v>
      </c>
      <c r="AR32" s="419">
        <f>SUM('26:25'!AR32)</f>
        <v>0</v>
      </c>
      <c r="AS32" s="419">
        <f>SUM('26:25'!AS32)</f>
        <v>0</v>
      </c>
      <c r="AT32" s="419">
        <f>SUM('26:25'!AT32)</f>
        <v>0</v>
      </c>
      <c r="AU32" s="419">
        <f>SUM('26:25'!AU32)</f>
        <v>0</v>
      </c>
      <c r="AV32" s="419">
        <f>SUM('26:25'!AV32)</f>
        <v>0</v>
      </c>
      <c r="AW32" s="419">
        <f>SUM('26:25'!AW32)</f>
        <v>0</v>
      </c>
      <c r="AX32" s="419">
        <f>SUM('26:25'!AX32)</f>
        <v>0</v>
      </c>
      <c r="AY32" s="419">
        <f>SUM('26:25'!AY32)</f>
        <v>0</v>
      </c>
      <c r="AZ32" s="419">
        <f>SUM('26:25'!AZ32)</f>
        <v>0</v>
      </c>
      <c r="BA32" s="419">
        <f>SUM('26:25'!BA32)</f>
        <v>0</v>
      </c>
      <c r="BB32" s="419">
        <f>SUM('26:25'!BB32)</f>
        <v>0</v>
      </c>
      <c r="BC32" s="419">
        <f>SUM('26:25'!BC32)</f>
        <v>0</v>
      </c>
      <c r="BD32" s="589"/>
      <c r="BE32" s="419">
        <f>SUM('26:25'!BE32)</f>
        <v>0</v>
      </c>
      <c r="BF32" s="419">
        <f>SUM('26:25'!BF32)</f>
        <v>0</v>
      </c>
      <c r="BG32" s="419">
        <f>SUM('26:25'!BG32)</f>
        <v>0</v>
      </c>
      <c r="BH32" s="419">
        <f>SUM('26:25'!BH32)</f>
        <v>0</v>
      </c>
      <c r="BI32" s="589"/>
      <c r="BJ32" s="419">
        <f>SUM('26:25'!BJ32)</f>
        <v>0</v>
      </c>
      <c r="BK32" s="419">
        <f>SUM('26:25'!BK32)</f>
        <v>0</v>
      </c>
      <c r="BL32" s="419">
        <f>SUM('26:25'!BL32)</f>
        <v>0</v>
      </c>
      <c r="BM32" s="419">
        <f>SUM('26:25'!BM32)</f>
        <v>0</v>
      </c>
      <c r="BN32" s="419">
        <f>SUM('26:25'!BN32)</f>
        <v>0</v>
      </c>
      <c r="BO32" s="419">
        <f>SUM('26:25'!BO32)</f>
        <v>0</v>
      </c>
      <c r="BP32" s="419">
        <f>SUM('26:25'!BP32)</f>
        <v>0</v>
      </c>
      <c r="BQ32" s="419">
        <f>SUM('26:25'!BQ32)</f>
        <v>0</v>
      </c>
      <c r="BR32" s="419">
        <f>SUM('26:25'!BR32)</f>
        <v>0</v>
      </c>
      <c r="BS32" s="419">
        <f>SUM('26:25'!BS32)</f>
        <v>0</v>
      </c>
      <c r="BT32" s="419">
        <f>SUM('26:25'!BT32)</f>
        <v>120</v>
      </c>
      <c r="BU32" s="419">
        <f>SUM('26:25'!BU32)</f>
        <v>0</v>
      </c>
      <c r="BV32" s="419">
        <f>SUM('26:25'!BV32)</f>
        <v>0</v>
      </c>
      <c r="BW32" s="419">
        <f>SUM('26:25'!BW32)</f>
        <v>0</v>
      </c>
      <c r="BX32" s="813">
        <f t="shared" si="1"/>
        <v>803855.5555555555</v>
      </c>
      <c r="BY32" s="30">
        <f>SUM(BY6:BY31)</f>
        <v>3388690</v>
      </c>
      <c r="BZ32" s="30">
        <f t="shared" ref="BZ32:CA32" si="2">SUM(BZ6:BZ31)</f>
        <v>1065250</v>
      </c>
      <c r="CA32" s="30">
        <f t="shared" si="2"/>
        <v>408700</v>
      </c>
    </row>
    <row r="33" spans="1:84" ht="19.5" customHeight="1" x14ac:dyDescent="0.25">
      <c r="A33" s="418">
        <f>'BANG LUONG 1'!A35</f>
        <v>28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>
        <f>SUM('26:25'!E33)</f>
        <v>0</v>
      </c>
      <c r="F33" s="419">
        <f>SUM('26:25'!F33)</f>
        <v>0</v>
      </c>
      <c r="G33" s="419">
        <f>SUM('26:25'!G33)</f>
        <v>0</v>
      </c>
      <c r="H33" s="419">
        <f>SUM('26:25'!H33)</f>
        <v>0</v>
      </c>
      <c r="I33" s="419">
        <f>SUM('26:25'!I33)</f>
        <v>0</v>
      </c>
      <c r="J33" s="419">
        <f>SUM('26:25'!J33)</f>
        <v>0</v>
      </c>
      <c r="K33" s="419">
        <f>SUM('26:25'!K33)</f>
        <v>0</v>
      </c>
      <c r="L33" s="419">
        <f>SUM('26:25'!L33)</f>
        <v>0</v>
      </c>
      <c r="M33" s="419">
        <f>SUM('26:25'!M33)</f>
        <v>0</v>
      </c>
      <c r="N33" s="419">
        <f>SUM('26:25'!N33)</f>
        <v>0</v>
      </c>
      <c r="O33" s="419">
        <f>SUM('26:25'!O33)</f>
        <v>0</v>
      </c>
      <c r="P33" s="419">
        <f>SUM('26:25'!P33)</f>
        <v>0</v>
      </c>
      <c r="Q33" s="419">
        <f>SUM('26:25'!Q33)</f>
        <v>0</v>
      </c>
      <c r="R33" s="419">
        <f>SUM('26:25'!R33)</f>
        <v>0</v>
      </c>
      <c r="S33" s="419">
        <f>SUM('26:25'!S33)</f>
        <v>0</v>
      </c>
      <c r="T33" s="419">
        <f>SUM('26:25'!T33)</f>
        <v>0</v>
      </c>
      <c r="U33" s="589"/>
      <c r="V33" s="419">
        <f>SUM('26:25'!V33)</f>
        <v>0</v>
      </c>
      <c r="W33" s="419">
        <f>SUM('26:25'!W33)</f>
        <v>0</v>
      </c>
      <c r="X33" s="419">
        <f>SUM('26:25'!X33)</f>
        <v>0</v>
      </c>
      <c r="Y33" s="419">
        <f>SUM('26:25'!Y33)</f>
        <v>0</v>
      </c>
      <c r="Z33" s="419">
        <f>SUM('26:25'!Z33)</f>
        <v>0</v>
      </c>
      <c r="AA33" s="419">
        <f>SUM('26:25'!AA33)</f>
        <v>0</v>
      </c>
      <c r="AB33" s="419">
        <f>SUM('26:25'!AB33)</f>
        <v>0</v>
      </c>
      <c r="AC33" s="419">
        <f>SUM('26:25'!AC33)</f>
        <v>0</v>
      </c>
      <c r="AD33" s="419">
        <f>SUM('26:25'!AD33)</f>
        <v>0</v>
      </c>
      <c r="AE33" s="419">
        <f>SUM('26:25'!AE33)</f>
        <v>0</v>
      </c>
      <c r="AF33" s="419">
        <f>SUM('26:25'!AF33)</f>
        <v>0</v>
      </c>
      <c r="AG33" s="419">
        <f>SUM('26:25'!AG33)</f>
        <v>0</v>
      </c>
      <c r="AH33" s="419">
        <f>SUM('26:25'!AH33)</f>
        <v>0</v>
      </c>
      <c r="AI33" s="419">
        <f>SUM('26:25'!AI33)</f>
        <v>0</v>
      </c>
      <c r="AJ33" s="419">
        <f>SUM('26:25'!AJ33)</f>
        <v>0</v>
      </c>
      <c r="AK33" s="589"/>
      <c r="AL33" s="419">
        <f>SUM('26:25'!AL33)</f>
        <v>0</v>
      </c>
      <c r="AM33" s="419">
        <f>SUM('26:25'!AM33)</f>
        <v>0</v>
      </c>
      <c r="AN33" s="419">
        <f>SUM('26:25'!AN33)</f>
        <v>0</v>
      </c>
      <c r="AO33" s="419">
        <f>SUM('26:25'!AO33)</f>
        <v>0</v>
      </c>
      <c r="AP33" s="593"/>
      <c r="AQ33" s="419">
        <f>SUM('26:25'!AQ33)</f>
        <v>0</v>
      </c>
      <c r="AR33" s="419">
        <f>SUM('26:25'!AR33)</f>
        <v>0</v>
      </c>
      <c r="AS33" s="419">
        <f>SUM('26:25'!AS33)</f>
        <v>0</v>
      </c>
      <c r="AT33" s="419">
        <f>SUM('26:25'!AT33)</f>
        <v>0</v>
      </c>
      <c r="AU33" s="419">
        <f>SUM('26:25'!AU33)</f>
        <v>0</v>
      </c>
      <c r="AV33" s="419">
        <f>SUM('26:25'!AV33)</f>
        <v>0</v>
      </c>
      <c r="AW33" s="419">
        <f>SUM('26:25'!AW33)</f>
        <v>0</v>
      </c>
      <c r="AX33" s="419">
        <f>SUM('26:25'!AX33)</f>
        <v>65</v>
      </c>
      <c r="AY33" s="419">
        <f>SUM('26:25'!AY33)</f>
        <v>0</v>
      </c>
      <c r="AZ33" s="419">
        <f>SUM('26:25'!AZ33)</f>
        <v>0</v>
      </c>
      <c r="BA33" s="419">
        <f>SUM('26:25'!BA33)</f>
        <v>0</v>
      </c>
      <c r="BB33" s="419">
        <f>SUM('26:25'!BB33)</f>
        <v>0</v>
      </c>
      <c r="BC33" s="419">
        <f>SUM('26:25'!BC33)</f>
        <v>0</v>
      </c>
      <c r="BD33" s="589"/>
      <c r="BE33" s="419">
        <f>SUM('26:25'!BE33)</f>
        <v>0</v>
      </c>
      <c r="BF33" s="419">
        <f>SUM('26:25'!BF33)</f>
        <v>0</v>
      </c>
      <c r="BG33" s="419">
        <f>SUM('26:25'!BG33)</f>
        <v>0</v>
      </c>
      <c r="BH33" s="419">
        <f>SUM('26:25'!BH33)</f>
        <v>0</v>
      </c>
      <c r="BI33" s="589"/>
      <c r="BJ33" s="419">
        <f>SUM('26:25'!BJ33)</f>
        <v>0</v>
      </c>
      <c r="BK33" s="419">
        <f>SUM('26:25'!BK33)</f>
        <v>0</v>
      </c>
      <c r="BL33" s="419">
        <f>SUM('26:25'!BL33)</f>
        <v>0</v>
      </c>
      <c r="BM33" s="419">
        <f>SUM('26:25'!BM33)</f>
        <v>0</v>
      </c>
      <c r="BN33" s="419">
        <f>SUM('26:25'!BN33)</f>
        <v>0</v>
      </c>
      <c r="BO33" s="419">
        <f>SUM('26:25'!BO33)</f>
        <v>0</v>
      </c>
      <c r="BP33" s="419">
        <f>SUM('26:25'!BP33)</f>
        <v>0</v>
      </c>
      <c r="BQ33" s="419">
        <f>SUM('26:25'!BQ33)</f>
        <v>0</v>
      </c>
      <c r="BR33" s="419">
        <f>SUM('26:25'!BR33)</f>
        <v>0</v>
      </c>
      <c r="BS33" s="419">
        <f>SUM('26:25'!BS33)</f>
        <v>0</v>
      </c>
      <c r="BT33" s="419">
        <f>SUM('26:25'!BT33)</f>
        <v>0</v>
      </c>
      <c r="BU33" s="419">
        <f>SUM('26:25'!BU33)</f>
        <v>0</v>
      </c>
      <c r="BV33" s="419">
        <f>SUM('26:25'!BV33)</f>
        <v>0</v>
      </c>
      <c r="BW33" s="419">
        <f>SUM('26:25'!BW33)</f>
        <v>0</v>
      </c>
      <c r="BX33" s="813">
        <f t="shared" si="1"/>
        <v>65</v>
      </c>
      <c r="BY33" s="30">
        <v>3388670</v>
      </c>
      <c r="BZ33" s="30">
        <v>1065370</v>
      </c>
      <c r="CA33" s="30">
        <v>0</v>
      </c>
      <c r="CB33" s="30">
        <v>409060</v>
      </c>
      <c r="CD33" s="74"/>
      <c r="CE33" s="74"/>
      <c r="CF33" s="74"/>
    </row>
    <row r="34" spans="1:84" s="54" customFormat="1" ht="19.5" customHeight="1" x14ac:dyDescent="0.25">
      <c r="A34" s="418">
        <f>'BANG LUONG 1'!A36</f>
        <v>29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>
        <f>SUM('26:25'!E34)</f>
        <v>0</v>
      </c>
      <c r="F34" s="419">
        <f>SUM('26:25'!F34)</f>
        <v>0</v>
      </c>
      <c r="G34" s="419">
        <f>SUM('26:25'!G34)</f>
        <v>0</v>
      </c>
      <c r="H34" s="419">
        <f>SUM('26:25'!H34)</f>
        <v>0</v>
      </c>
      <c r="I34" s="419">
        <f>SUM('26:25'!I34)</f>
        <v>0</v>
      </c>
      <c r="J34" s="419">
        <f>SUM('26:25'!J34)</f>
        <v>0</v>
      </c>
      <c r="K34" s="419">
        <f>SUM('26:25'!K34)</f>
        <v>0</v>
      </c>
      <c r="L34" s="419">
        <f>SUM('26:25'!L34)</f>
        <v>0</v>
      </c>
      <c r="M34" s="419">
        <f>SUM('26:25'!M34)</f>
        <v>0</v>
      </c>
      <c r="N34" s="419">
        <f>SUM('26:25'!N34)</f>
        <v>0</v>
      </c>
      <c r="O34" s="419">
        <f>SUM('26:25'!O34)</f>
        <v>0</v>
      </c>
      <c r="P34" s="419">
        <f>SUM('26:25'!P34)</f>
        <v>0</v>
      </c>
      <c r="Q34" s="419">
        <f>SUM('26:25'!Q34)</f>
        <v>0</v>
      </c>
      <c r="R34" s="419">
        <f>SUM('26:25'!R34)</f>
        <v>0</v>
      </c>
      <c r="S34" s="419">
        <f>SUM('26:25'!S34)</f>
        <v>0</v>
      </c>
      <c r="T34" s="419">
        <f>SUM('26:25'!T34)</f>
        <v>0</v>
      </c>
      <c r="U34" s="589"/>
      <c r="V34" s="419">
        <f>SUM('26:25'!V34)</f>
        <v>0</v>
      </c>
      <c r="W34" s="419">
        <f>SUM('26:25'!W34)</f>
        <v>0</v>
      </c>
      <c r="X34" s="419">
        <f>SUM('26:25'!X34)</f>
        <v>0</v>
      </c>
      <c r="Y34" s="419">
        <f>SUM('26:25'!Y34)</f>
        <v>0</v>
      </c>
      <c r="Z34" s="419">
        <f>SUM('26:25'!Z34)</f>
        <v>0</v>
      </c>
      <c r="AA34" s="419">
        <f>SUM('26:25'!AA34)</f>
        <v>0</v>
      </c>
      <c r="AB34" s="419">
        <f>SUM('26:25'!AB34)</f>
        <v>0</v>
      </c>
      <c r="AC34" s="419">
        <f>SUM('26:25'!AC34)</f>
        <v>0</v>
      </c>
      <c r="AD34" s="419">
        <f>SUM('26:25'!AD34)</f>
        <v>0</v>
      </c>
      <c r="AE34" s="419">
        <f>SUM('26:25'!AE34)</f>
        <v>0</v>
      </c>
      <c r="AF34" s="419">
        <f>SUM('26:25'!AF34)</f>
        <v>0</v>
      </c>
      <c r="AG34" s="419">
        <f>SUM('26:25'!AG34)</f>
        <v>0</v>
      </c>
      <c r="AH34" s="419">
        <f>SUM('26:25'!AH34)</f>
        <v>0</v>
      </c>
      <c r="AI34" s="419">
        <f>SUM('26:25'!AI34)</f>
        <v>0</v>
      </c>
      <c r="AJ34" s="419">
        <f>SUM('26:25'!AJ34)</f>
        <v>0</v>
      </c>
      <c r="AK34" s="589"/>
      <c r="AL34" s="419">
        <f>SUM('26:25'!AL34)</f>
        <v>0</v>
      </c>
      <c r="AM34" s="419">
        <f>SUM('26:25'!AM34)</f>
        <v>0</v>
      </c>
      <c r="AN34" s="419">
        <f>SUM('26:25'!AN34)</f>
        <v>0</v>
      </c>
      <c r="AO34" s="419">
        <f>SUM('26:25'!AO34)</f>
        <v>0</v>
      </c>
      <c r="AP34" s="593"/>
      <c r="AQ34" s="419">
        <f>SUM('26:25'!AQ34)</f>
        <v>0</v>
      </c>
      <c r="AR34" s="419">
        <f>SUM('26:25'!AR34)</f>
        <v>0</v>
      </c>
      <c r="AS34" s="419">
        <f>SUM('26:25'!AS34)</f>
        <v>0</v>
      </c>
      <c r="AT34" s="419">
        <f>SUM('26:25'!AT34)</f>
        <v>0</v>
      </c>
      <c r="AU34" s="419">
        <f>SUM('26:25'!AU34)</f>
        <v>0</v>
      </c>
      <c r="AV34" s="419">
        <f>SUM('26:25'!AV34)</f>
        <v>0</v>
      </c>
      <c r="AW34" s="419">
        <f>SUM('26:25'!AW34)</f>
        <v>203.5</v>
      </c>
      <c r="AX34" s="419">
        <f>SUM('26:25'!AX34)</f>
        <v>0</v>
      </c>
      <c r="AY34" s="419">
        <f>SUM('26:25'!AY34)</f>
        <v>0</v>
      </c>
      <c r="AZ34" s="419">
        <f>SUM('26:25'!AZ34)</f>
        <v>0</v>
      </c>
      <c r="BA34" s="419">
        <f>SUM('26:25'!BA34)</f>
        <v>0</v>
      </c>
      <c r="BB34" s="419">
        <f>SUM('26:25'!BB34)</f>
        <v>0</v>
      </c>
      <c r="BC34" s="419">
        <f>SUM('26:25'!BC34)</f>
        <v>0</v>
      </c>
      <c r="BD34" s="589"/>
      <c r="BE34" s="419">
        <f>SUM('26:25'!BE34)</f>
        <v>0</v>
      </c>
      <c r="BF34" s="419">
        <f>SUM('26:25'!BF34)</f>
        <v>0</v>
      </c>
      <c r="BG34" s="419">
        <f>SUM('26:25'!BG34)</f>
        <v>0</v>
      </c>
      <c r="BH34" s="419">
        <f>SUM('26:25'!BH34)</f>
        <v>0</v>
      </c>
      <c r="BI34" s="589"/>
      <c r="BJ34" s="419">
        <f>SUM('26:25'!BJ34)</f>
        <v>0</v>
      </c>
      <c r="BK34" s="419">
        <f>SUM('26:25'!BK34)</f>
        <v>0</v>
      </c>
      <c r="BL34" s="419">
        <f>SUM('26:25'!BL34)</f>
        <v>0</v>
      </c>
      <c r="BM34" s="419">
        <f>SUM('26:25'!BM34)</f>
        <v>0</v>
      </c>
      <c r="BN34" s="419">
        <f>SUM('26:25'!BN34)</f>
        <v>0</v>
      </c>
      <c r="BO34" s="419">
        <f>SUM('26:25'!BO34)</f>
        <v>0</v>
      </c>
      <c r="BP34" s="419">
        <f>SUM('26:25'!BP34)</f>
        <v>0</v>
      </c>
      <c r="BQ34" s="419">
        <f>SUM('26:25'!BQ34)</f>
        <v>0</v>
      </c>
      <c r="BR34" s="419">
        <f>SUM('26:25'!BR34)</f>
        <v>0</v>
      </c>
      <c r="BS34" s="419">
        <f>SUM('26:25'!BS34)</f>
        <v>0</v>
      </c>
      <c r="BT34" s="419">
        <f>SUM('26:25'!BT34)</f>
        <v>0</v>
      </c>
      <c r="BU34" s="419">
        <f>SUM('26:25'!BU34)</f>
        <v>0</v>
      </c>
      <c r="BV34" s="419">
        <f>SUM('26:25'!BV34)</f>
        <v>0</v>
      </c>
      <c r="BW34" s="419">
        <f>SUM('26:25'!BW34)</f>
        <v>0</v>
      </c>
      <c r="BX34" s="813">
        <f t="shared" si="1"/>
        <v>203.5</v>
      </c>
      <c r="CD34" s="74"/>
      <c r="CE34" s="74"/>
      <c r="CF34" s="74"/>
    </row>
    <row r="35" spans="1:84" s="54" customFormat="1" ht="19.5" customHeight="1" x14ac:dyDescent="0.25">
      <c r="A35" s="418">
        <f>'BANG LUONG 1'!A37</f>
        <v>30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>
        <f>SUM('26:25'!E35)</f>
        <v>0</v>
      </c>
      <c r="F35" s="419">
        <f>SUM('26:25'!F35)</f>
        <v>0</v>
      </c>
      <c r="G35" s="419">
        <f>SUM('26:25'!G35)</f>
        <v>0</v>
      </c>
      <c r="H35" s="419">
        <f>SUM('26:25'!H35)</f>
        <v>0</v>
      </c>
      <c r="I35" s="419">
        <f>SUM('26:25'!I35)</f>
        <v>0</v>
      </c>
      <c r="J35" s="419">
        <f>SUM('26:25'!J35)</f>
        <v>0</v>
      </c>
      <c r="K35" s="419">
        <f>SUM('26:25'!K35)</f>
        <v>0</v>
      </c>
      <c r="L35" s="419">
        <f>SUM('26:25'!L35)</f>
        <v>0</v>
      </c>
      <c r="M35" s="419">
        <f>SUM('26:25'!M35)</f>
        <v>0</v>
      </c>
      <c r="N35" s="419">
        <f>SUM('26:25'!N35)</f>
        <v>0</v>
      </c>
      <c r="O35" s="419">
        <f>SUM('26:25'!O35)</f>
        <v>0</v>
      </c>
      <c r="P35" s="419">
        <f>SUM('26:25'!P35)</f>
        <v>0</v>
      </c>
      <c r="Q35" s="419">
        <f>SUM('26:25'!Q35)</f>
        <v>0</v>
      </c>
      <c r="R35" s="419">
        <f>SUM('26:25'!R35)</f>
        <v>0</v>
      </c>
      <c r="S35" s="419">
        <f>SUM('26:25'!S35)</f>
        <v>0</v>
      </c>
      <c r="T35" s="419">
        <f>SUM('26:25'!T35)</f>
        <v>0</v>
      </c>
      <c r="U35" s="589"/>
      <c r="V35" s="419">
        <f>SUM('26:25'!V35)</f>
        <v>0</v>
      </c>
      <c r="W35" s="419">
        <f>SUM('26:25'!W35)</f>
        <v>0</v>
      </c>
      <c r="X35" s="419">
        <f>SUM('26:25'!X35)</f>
        <v>0</v>
      </c>
      <c r="Y35" s="419">
        <f>SUM('26:25'!Y35)</f>
        <v>0</v>
      </c>
      <c r="Z35" s="419">
        <f>SUM('26:25'!Z35)</f>
        <v>0</v>
      </c>
      <c r="AA35" s="419">
        <f>SUM('26:25'!AA35)</f>
        <v>0</v>
      </c>
      <c r="AB35" s="419">
        <f>SUM('26:25'!AB35)</f>
        <v>0</v>
      </c>
      <c r="AC35" s="419">
        <f>SUM('26:25'!AC35)</f>
        <v>0</v>
      </c>
      <c r="AD35" s="419">
        <f>SUM('26:25'!AD35)</f>
        <v>0</v>
      </c>
      <c r="AE35" s="419">
        <f>SUM('26:25'!AE35)</f>
        <v>0</v>
      </c>
      <c r="AF35" s="419">
        <f>SUM('26:25'!AF35)</f>
        <v>0</v>
      </c>
      <c r="AG35" s="419">
        <f>SUM('26:25'!AG35)</f>
        <v>0</v>
      </c>
      <c r="AH35" s="419">
        <f>SUM('26:25'!AH35)</f>
        <v>0</v>
      </c>
      <c r="AI35" s="419">
        <f>SUM('26:25'!AI35)</f>
        <v>0</v>
      </c>
      <c r="AJ35" s="419">
        <f>SUM('26:25'!AJ35)</f>
        <v>0</v>
      </c>
      <c r="AK35" s="589"/>
      <c r="AL35" s="419">
        <f>SUM('26:25'!AL35)</f>
        <v>0</v>
      </c>
      <c r="AM35" s="419">
        <f>SUM('26:25'!AM35)</f>
        <v>0</v>
      </c>
      <c r="AN35" s="419">
        <f>SUM('26:25'!AN35)</f>
        <v>0</v>
      </c>
      <c r="AO35" s="419">
        <f>SUM('26:25'!AO35)</f>
        <v>0</v>
      </c>
      <c r="AP35" s="593"/>
      <c r="AQ35" s="419">
        <f>SUM('26:25'!AQ35)</f>
        <v>0</v>
      </c>
      <c r="AR35" s="419">
        <f>SUM('26:25'!AR35)</f>
        <v>0</v>
      </c>
      <c r="AS35" s="419">
        <f>SUM('26:25'!AS35)</f>
        <v>0</v>
      </c>
      <c r="AT35" s="419">
        <f>SUM('26:25'!AT35)</f>
        <v>0</v>
      </c>
      <c r="AU35" s="419">
        <f>SUM('26:25'!AU35)</f>
        <v>0</v>
      </c>
      <c r="AV35" s="419">
        <f>SUM('26:25'!AV35)</f>
        <v>0</v>
      </c>
      <c r="AW35" s="419">
        <f>SUM('26:25'!AW35)</f>
        <v>293.58</v>
      </c>
      <c r="AX35" s="419">
        <f>SUM('26:25'!AX35)</f>
        <v>0</v>
      </c>
      <c r="AY35" s="419">
        <f>SUM('26:25'!AY35)</f>
        <v>0</v>
      </c>
      <c r="AZ35" s="419">
        <f>SUM('26:25'!AZ35)</f>
        <v>0</v>
      </c>
      <c r="BA35" s="419">
        <f>SUM('26:25'!BA35)</f>
        <v>0</v>
      </c>
      <c r="BB35" s="419">
        <f>SUM('26:25'!BB35)</f>
        <v>0</v>
      </c>
      <c r="BC35" s="419">
        <f>SUM('26:25'!BC35)</f>
        <v>0</v>
      </c>
      <c r="BD35" s="589"/>
      <c r="BE35" s="419">
        <f>SUM('26:25'!BE35)</f>
        <v>0</v>
      </c>
      <c r="BF35" s="419">
        <f>SUM('26:25'!BF35)</f>
        <v>0</v>
      </c>
      <c r="BG35" s="419">
        <f>SUM('26:25'!BG35)</f>
        <v>0</v>
      </c>
      <c r="BH35" s="419">
        <f>SUM('26:25'!BH35)</f>
        <v>0</v>
      </c>
      <c r="BI35" s="589"/>
      <c r="BJ35" s="419">
        <f>SUM('26:25'!BJ35)</f>
        <v>0</v>
      </c>
      <c r="BK35" s="419">
        <f>SUM('26:25'!BK35)</f>
        <v>0</v>
      </c>
      <c r="BL35" s="419">
        <f>SUM('26:25'!BL35)</f>
        <v>0</v>
      </c>
      <c r="BM35" s="419">
        <f>SUM('26:25'!BM35)</f>
        <v>0</v>
      </c>
      <c r="BN35" s="419">
        <f>SUM('26:25'!BN35)</f>
        <v>0</v>
      </c>
      <c r="BO35" s="419">
        <f>SUM('26:25'!BO35)</f>
        <v>0</v>
      </c>
      <c r="BP35" s="419">
        <f>SUM('26:25'!BP35)</f>
        <v>0</v>
      </c>
      <c r="BQ35" s="419">
        <f>SUM('26:25'!BQ35)</f>
        <v>0</v>
      </c>
      <c r="BR35" s="419">
        <f>SUM('26:25'!BR35)</f>
        <v>0</v>
      </c>
      <c r="BS35" s="419">
        <f>SUM('26:25'!BS35)</f>
        <v>0</v>
      </c>
      <c r="BT35" s="419">
        <f>SUM('26:25'!BT35)</f>
        <v>0</v>
      </c>
      <c r="BU35" s="419">
        <f>SUM('26:25'!BU35)</f>
        <v>0</v>
      </c>
      <c r="BV35" s="419">
        <f>SUM('26:25'!BV35)</f>
        <v>0</v>
      </c>
      <c r="BW35" s="419">
        <f>SUM('26:25'!BW35)</f>
        <v>0</v>
      </c>
      <c r="BX35" s="813">
        <f t="shared" si="1"/>
        <v>293.58</v>
      </c>
      <c r="CD35" s="74"/>
      <c r="CE35" s="74"/>
      <c r="CF35" s="74"/>
    </row>
    <row r="36" spans="1:84" ht="19.5" customHeight="1" x14ac:dyDescent="0.25">
      <c r="A36" s="418">
        <f>'BANG LUONG 1'!A38</f>
        <v>31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>
        <f>SUM('26:25'!E36)</f>
        <v>0</v>
      </c>
      <c r="F36" s="419">
        <f>SUM('26:25'!F36)</f>
        <v>0</v>
      </c>
      <c r="G36" s="419">
        <f>SUM('26:25'!G36)</f>
        <v>0</v>
      </c>
      <c r="H36" s="419">
        <f>SUM('26:25'!H36)</f>
        <v>0</v>
      </c>
      <c r="I36" s="419">
        <f>SUM('26:25'!I36)</f>
        <v>0</v>
      </c>
      <c r="J36" s="419">
        <f>SUM('26:25'!J36)</f>
        <v>0</v>
      </c>
      <c r="K36" s="419">
        <f>SUM('26:25'!K36)</f>
        <v>0</v>
      </c>
      <c r="L36" s="419">
        <f>SUM('26:25'!L36)</f>
        <v>0</v>
      </c>
      <c r="M36" s="419">
        <f>SUM('26:25'!M36)</f>
        <v>0</v>
      </c>
      <c r="N36" s="419">
        <f>SUM('26:25'!N36)</f>
        <v>0</v>
      </c>
      <c r="O36" s="419">
        <f>SUM('26:25'!O36)</f>
        <v>0</v>
      </c>
      <c r="P36" s="419">
        <f>SUM('26:25'!P36)</f>
        <v>0</v>
      </c>
      <c r="Q36" s="419">
        <f>SUM('26:25'!Q36)</f>
        <v>0</v>
      </c>
      <c r="R36" s="419">
        <f>SUM('26:25'!R36)</f>
        <v>0</v>
      </c>
      <c r="S36" s="419">
        <f>SUM('26:25'!S36)</f>
        <v>0</v>
      </c>
      <c r="T36" s="419">
        <f>SUM('26:25'!T36)</f>
        <v>0</v>
      </c>
      <c r="U36" s="589"/>
      <c r="V36" s="419">
        <f>SUM('26:25'!V36)</f>
        <v>0</v>
      </c>
      <c r="W36" s="419">
        <f>SUM('26:25'!W36)</f>
        <v>0</v>
      </c>
      <c r="X36" s="419">
        <f>SUM('26:25'!X36)</f>
        <v>0</v>
      </c>
      <c r="Y36" s="419">
        <f>SUM('26:25'!Y36)</f>
        <v>0</v>
      </c>
      <c r="Z36" s="419">
        <f>SUM('26:25'!Z36)</f>
        <v>0</v>
      </c>
      <c r="AA36" s="419">
        <f>SUM('26:25'!AA36)</f>
        <v>0</v>
      </c>
      <c r="AB36" s="419">
        <f>SUM('26:25'!AB36)</f>
        <v>0</v>
      </c>
      <c r="AC36" s="419">
        <f>SUM('26:25'!AC36)</f>
        <v>0</v>
      </c>
      <c r="AD36" s="419">
        <f>SUM('26:25'!AD36)</f>
        <v>0</v>
      </c>
      <c r="AE36" s="419">
        <f>SUM('26:25'!AE36)</f>
        <v>0</v>
      </c>
      <c r="AF36" s="419">
        <f>SUM('26:25'!AF36)</f>
        <v>0</v>
      </c>
      <c r="AG36" s="419">
        <f>SUM('26:25'!AG36)</f>
        <v>0</v>
      </c>
      <c r="AH36" s="419">
        <f>SUM('26:25'!AH36)</f>
        <v>0</v>
      </c>
      <c r="AI36" s="419">
        <f>SUM('26:25'!AI36)</f>
        <v>0</v>
      </c>
      <c r="AJ36" s="419">
        <f>SUM('26:25'!AJ36)</f>
        <v>0</v>
      </c>
      <c r="AK36" s="589"/>
      <c r="AL36" s="419">
        <f>SUM('26:25'!AL36)</f>
        <v>0</v>
      </c>
      <c r="AM36" s="419">
        <f>SUM('26:25'!AM36)</f>
        <v>0</v>
      </c>
      <c r="AN36" s="419">
        <f>SUM('26:25'!AN36)</f>
        <v>0</v>
      </c>
      <c r="AO36" s="419">
        <f>SUM('26:25'!AO36)</f>
        <v>0</v>
      </c>
      <c r="AP36" s="593"/>
      <c r="AQ36" s="419">
        <f>SUM('26:25'!AQ36)</f>
        <v>0</v>
      </c>
      <c r="AR36" s="419">
        <f>SUM('26:25'!AR36)</f>
        <v>0</v>
      </c>
      <c r="AS36" s="419">
        <f>SUM('26:25'!AS36)</f>
        <v>0</v>
      </c>
      <c r="AT36" s="419">
        <f>SUM('26:25'!AT36)</f>
        <v>0</v>
      </c>
      <c r="AU36" s="419">
        <f>SUM('26:25'!AU36)</f>
        <v>118.41666666666667</v>
      </c>
      <c r="AV36" s="419">
        <f>SUM('26:25'!AV36)</f>
        <v>0</v>
      </c>
      <c r="AW36" s="419">
        <f>SUM('26:25'!AW36)</f>
        <v>0</v>
      </c>
      <c r="AX36" s="419">
        <f>SUM('26:25'!AX36)</f>
        <v>0</v>
      </c>
      <c r="AY36" s="419">
        <f>SUM('26:25'!AY36)</f>
        <v>0</v>
      </c>
      <c r="AZ36" s="419">
        <f>SUM('26:25'!AZ36)</f>
        <v>0</v>
      </c>
      <c r="BA36" s="419">
        <f>SUM('26:25'!BA36)</f>
        <v>118.41666666666667</v>
      </c>
      <c r="BB36" s="419">
        <f>SUM('26:25'!BB36)</f>
        <v>0</v>
      </c>
      <c r="BC36" s="419">
        <f>SUM('26:25'!BC36)</f>
        <v>0</v>
      </c>
      <c r="BD36" s="589"/>
      <c r="BE36" s="419">
        <f>SUM('26:25'!BE36)</f>
        <v>0</v>
      </c>
      <c r="BF36" s="419">
        <f>SUM('26:25'!BF36)</f>
        <v>0</v>
      </c>
      <c r="BG36" s="419">
        <f>SUM('26:25'!BG36)</f>
        <v>0</v>
      </c>
      <c r="BH36" s="419">
        <f>SUM('26:25'!BH36)</f>
        <v>0</v>
      </c>
      <c r="BI36" s="589"/>
      <c r="BJ36" s="419">
        <f>SUM('26:25'!BJ36)</f>
        <v>0</v>
      </c>
      <c r="BK36" s="419">
        <f>SUM('26:25'!BK36)</f>
        <v>0</v>
      </c>
      <c r="BL36" s="419">
        <f>SUM('26:25'!BL36)</f>
        <v>0</v>
      </c>
      <c r="BM36" s="419">
        <f>SUM('26:25'!BM36)</f>
        <v>0</v>
      </c>
      <c r="BN36" s="419">
        <f>SUM('26:25'!BN36)</f>
        <v>0</v>
      </c>
      <c r="BO36" s="419">
        <f>SUM('26:25'!BO36)</f>
        <v>0</v>
      </c>
      <c r="BP36" s="419">
        <f>SUM('26:25'!BP36)</f>
        <v>0</v>
      </c>
      <c r="BQ36" s="419">
        <f>SUM('26:25'!BQ36)</f>
        <v>0</v>
      </c>
      <c r="BR36" s="419">
        <f>SUM('26:25'!BR36)</f>
        <v>0</v>
      </c>
      <c r="BS36" s="419">
        <f>SUM('26:25'!BS36)</f>
        <v>0</v>
      </c>
      <c r="BT36" s="419">
        <f>SUM('26:25'!BT36)</f>
        <v>0</v>
      </c>
      <c r="BU36" s="419">
        <f>SUM('26:25'!BU36)</f>
        <v>0</v>
      </c>
      <c r="BV36" s="419">
        <f>SUM('26:25'!BV36)</f>
        <v>0</v>
      </c>
      <c r="BW36" s="419">
        <f>SUM('26:25'!BW36)</f>
        <v>0</v>
      </c>
      <c r="BX36" s="813">
        <f t="shared" si="1"/>
        <v>236.83333333333334</v>
      </c>
    </row>
    <row r="37" spans="1:84" ht="19.5" customHeight="1" x14ac:dyDescent="0.25">
      <c r="A37" s="418">
        <f>'BANG LUONG 1'!A40</f>
        <v>32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>
        <f>SUM('26:25'!E37)</f>
        <v>0</v>
      </c>
      <c r="F37" s="419">
        <f>SUM('26:25'!F37)</f>
        <v>0</v>
      </c>
      <c r="G37" s="419">
        <f>SUM('26:25'!G37)</f>
        <v>0</v>
      </c>
      <c r="H37" s="419">
        <f>SUM('26:25'!H37)</f>
        <v>0</v>
      </c>
      <c r="I37" s="419">
        <f>SUM('26:25'!I37)</f>
        <v>0</v>
      </c>
      <c r="J37" s="419">
        <f>SUM('26:25'!J37)</f>
        <v>0</v>
      </c>
      <c r="K37" s="419">
        <f>SUM('26:25'!K37)</f>
        <v>0</v>
      </c>
      <c r="L37" s="419">
        <f>SUM('26:25'!L37)</f>
        <v>0</v>
      </c>
      <c r="M37" s="419">
        <f>SUM('26:25'!M37)</f>
        <v>0</v>
      </c>
      <c r="N37" s="419">
        <f>SUM('26:25'!N37)</f>
        <v>0</v>
      </c>
      <c r="O37" s="419">
        <f>SUM('26:25'!O37)</f>
        <v>0</v>
      </c>
      <c r="P37" s="419">
        <f>SUM('26:25'!P37)</f>
        <v>0</v>
      </c>
      <c r="Q37" s="419">
        <f>SUM('26:25'!Q37)</f>
        <v>0</v>
      </c>
      <c r="R37" s="419">
        <f>SUM('26:25'!R37)</f>
        <v>0</v>
      </c>
      <c r="S37" s="419">
        <f>SUM('26:25'!S37)</f>
        <v>0</v>
      </c>
      <c r="T37" s="419">
        <f>SUM('26:25'!T37)</f>
        <v>0</v>
      </c>
      <c r="U37" s="589"/>
      <c r="V37" s="419">
        <f>SUM('26:25'!V37)</f>
        <v>0</v>
      </c>
      <c r="W37" s="419">
        <f>SUM('26:25'!W37)</f>
        <v>0</v>
      </c>
      <c r="X37" s="419">
        <f>SUM('26:25'!X37)</f>
        <v>0</v>
      </c>
      <c r="Y37" s="419">
        <f>SUM('26:25'!Y37)</f>
        <v>0</v>
      </c>
      <c r="Z37" s="419">
        <f>SUM('26:25'!Z37)</f>
        <v>0</v>
      </c>
      <c r="AA37" s="419">
        <f>SUM('26:25'!AA37)</f>
        <v>0</v>
      </c>
      <c r="AB37" s="419">
        <f>SUM('26:25'!AB37)</f>
        <v>0</v>
      </c>
      <c r="AC37" s="419">
        <f>SUM('26:25'!AC37)</f>
        <v>0</v>
      </c>
      <c r="AD37" s="419">
        <f>SUM('26:25'!AD37)</f>
        <v>0</v>
      </c>
      <c r="AE37" s="419">
        <f>SUM('26:25'!AE37)</f>
        <v>0</v>
      </c>
      <c r="AF37" s="419">
        <f>SUM('26:25'!AF37)</f>
        <v>0</v>
      </c>
      <c r="AG37" s="419">
        <f>SUM('26:25'!AG37)</f>
        <v>0</v>
      </c>
      <c r="AH37" s="419">
        <f>SUM('26:25'!AH37)</f>
        <v>0</v>
      </c>
      <c r="AI37" s="419">
        <f>SUM('26:25'!AI37)</f>
        <v>0</v>
      </c>
      <c r="AJ37" s="419">
        <f>SUM('26:25'!AJ37)</f>
        <v>0</v>
      </c>
      <c r="AK37" s="589"/>
      <c r="AL37" s="419">
        <f>SUM('26:25'!AL37)</f>
        <v>0</v>
      </c>
      <c r="AM37" s="419">
        <f>SUM('26:25'!AM37)</f>
        <v>0</v>
      </c>
      <c r="AN37" s="419">
        <f>SUM('26:25'!AN37)</f>
        <v>0</v>
      </c>
      <c r="AO37" s="419">
        <f>SUM('26:25'!AO37)</f>
        <v>0</v>
      </c>
      <c r="AP37" s="593"/>
      <c r="AQ37" s="419">
        <f>SUM('26:25'!AQ37)</f>
        <v>0</v>
      </c>
      <c r="AR37" s="419">
        <f>SUM('26:25'!AR37)</f>
        <v>0</v>
      </c>
      <c r="AS37" s="419">
        <f>SUM('26:25'!AS37)</f>
        <v>0</v>
      </c>
      <c r="AT37" s="419">
        <f>SUM('26:25'!AT37)</f>
        <v>163.75</v>
      </c>
      <c r="AU37" s="419">
        <f>SUM('26:25'!AU37)</f>
        <v>0</v>
      </c>
      <c r="AV37" s="419">
        <f>SUM('26:25'!AV37)</f>
        <v>0</v>
      </c>
      <c r="AW37" s="419">
        <f>SUM('26:25'!AW37)</f>
        <v>0</v>
      </c>
      <c r="AX37" s="419">
        <f>SUM('26:25'!AX37)</f>
        <v>0</v>
      </c>
      <c r="AY37" s="419">
        <f>SUM('26:25'!AY37)</f>
        <v>0</v>
      </c>
      <c r="AZ37" s="419">
        <f>SUM('26:25'!AZ37)</f>
        <v>0</v>
      </c>
      <c r="BA37" s="419">
        <f>SUM('26:25'!BA37)</f>
        <v>0</v>
      </c>
      <c r="BB37" s="419">
        <f>SUM('26:25'!BB37)</f>
        <v>0</v>
      </c>
      <c r="BC37" s="419">
        <f>SUM('26:25'!BC37)</f>
        <v>0</v>
      </c>
      <c r="BD37" s="589"/>
      <c r="BE37" s="419">
        <f>SUM('26:25'!BE37)</f>
        <v>0</v>
      </c>
      <c r="BF37" s="419">
        <f>SUM('26:25'!BF37)</f>
        <v>0</v>
      </c>
      <c r="BG37" s="419">
        <f>SUM('26:25'!BG37)</f>
        <v>0</v>
      </c>
      <c r="BH37" s="419">
        <f>SUM('26:25'!BH37)</f>
        <v>0</v>
      </c>
      <c r="BI37" s="589"/>
      <c r="BJ37" s="419">
        <f>SUM('26:25'!BJ37)</f>
        <v>0</v>
      </c>
      <c r="BK37" s="419">
        <f>SUM('26:25'!BK37)</f>
        <v>0</v>
      </c>
      <c r="BL37" s="419">
        <f>SUM('26:25'!BL37)</f>
        <v>0</v>
      </c>
      <c r="BM37" s="419">
        <f>SUM('26:25'!BM37)</f>
        <v>9825</v>
      </c>
      <c r="BN37" s="419">
        <f>SUM('26:25'!BN37)</f>
        <v>0</v>
      </c>
      <c r="BO37" s="419">
        <f>SUM('26:25'!BO37)</f>
        <v>0</v>
      </c>
      <c r="BP37" s="419">
        <f>SUM('26:25'!BP37)</f>
        <v>0</v>
      </c>
      <c r="BQ37" s="419">
        <f>SUM('26:25'!BQ37)</f>
        <v>0</v>
      </c>
      <c r="BR37" s="419">
        <f>SUM('26:25'!BR37)</f>
        <v>0</v>
      </c>
      <c r="BS37" s="419">
        <f>SUM('26:25'!BS37)</f>
        <v>0</v>
      </c>
      <c r="BT37" s="419">
        <f>SUM('26:25'!BT37)</f>
        <v>0</v>
      </c>
      <c r="BU37" s="419">
        <f>SUM('26:25'!BU37)</f>
        <v>0</v>
      </c>
      <c r="BV37" s="419">
        <f>SUM('26:25'!BV37)</f>
        <v>0</v>
      </c>
      <c r="BW37" s="419">
        <f>SUM('26:25'!BW37)</f>
        <v>0</v>
      </c>
      <c r="BX37" s="813">
        <f t="shared" si="1"/>
        <v>9988.75</v>
      </c>
    </row>
    <row r="38" spans="1:84" ht="19.5" customHeight="1" x14ac:dyDescent="0.25">
      <c r="A38" s="418">
        <f>'BANG LUONG 1'!A41</f>
        <v>33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>
        <f>SUM('26:25'!E38)</f>
        <v>0</v>
      </c>
      <c r="F38" s="419">
        <f>SUM('26:25'!F38)</f>
        <v>0</v>
      </c>
      <c r="G38" s="419">
        <f>SUM('26:25'!G38)</f>
        <v>0</v>
      </c>
      <c r="H38" s="419">
        <f>SUM('26:25'!H38)</f>
        <v>0</v>
      </c>
      <c r="I38" s="419">
        <f>SUM('26:25'!I38)</f>
        <v>0</v>
      </c>
      <c r="J38" s="419">
        <f>SUM('26:25'!J38)</f>
        <v>0</v>
      </c>
      <c r="K38" s="419">
        <f>SUM('26:25'!K38)</f>
        <v>0</v>
      </c>
      <c r="L38" s="419">
        <f>SUM('26:25'!L38)</f>
        <v>0</v>
      </c>
      <c r="M38" s="419">
        <f>SUM('26:25'!M38)</f>
        <v>0</v>
      </c>
      <c r="N38" s="419">
        <f>SUM('26:25'!N38)</f>
        <v>0</v>
      </c>
      <c r="O38" s="419">
        <f>SUM('26:25'!O38)</f>
        <v>0</v>
      </c>
      <c r="P38" s="419">
        <f>SUM('26:25'!P38)</f>
        <v>0</v>
      </c>
      <c r="Q38" s="419">
        <f>SUM('26:25'!Q38)</f>
        <v>0</v>
      </c>
      <c r="R38" s="419">
        <f>SUM('26:25'!R38)</f>
        <v>0</v>
      </c>
      <c r="S38" s="419">
        <f>SUM('26:25'!S38)</f>
        <v>0</v>
      </c>
      <c r="T38" s="419">
        <f>SUM('26:25'!T38)</f>
        <v>0</v>
      </c>
      <c r="U38" s="589"/>
      <c r="V38" s="419">
        <f>SUM('26:25'!V38)</f>
        <v>0</v>
      </c>
      <c r="W38" s="419">
        <f>SUM('26:25'!W38)</f>
        <v>0</v>
      </c>
      <c r="X38" s="419">
        <f>SUM('26:25'!X38)</f>
        <v>0</v>
      </c>
      <c r="Y38" s="419">
        <f>SUM('26:25'!Y38)</f>
        <v>0</v>
      </c>
      <c r="Z38" s="419">
        <f>SUM('26:25'!Z38)</f>
        <v>0</v>
      </c>
      <c r="AA38" s="419">
        <f>SUM('26:25'!AA38)</f>
        <v>0</v>
      </c>
      <c r="AB38" s="419">
        <f>SUM('26:25'!AB38)</f>
        <v>0</v>
      </c>
      <c r="AC38" s="419">
        <f>SUM('26:25'!AC38)</f>
        <v>0</v>
      </c>
      <c r="AD38" s="419">
        <f>SUM('26:25'!AD38)</f>
        <v>0</v>
      </c>
      <c r="AE38" s="419">
        <f>SUM('26:25'!AE38)</f>
        <v>0</v>
      </c>
      <c r="AF38" s="419">
        <f>SUM('26:25'!AF38)</f>
        <v>0</v>
      </c>
      <c r="AG38" s="419">
        <f>SUM('26:25'!AG38)</f>
        <v>0</v>
      </c>
      <c r="AH38" s="419">
        <f>SUM('26:25'!AH38)</f>
        <v>0</v>
      </c>
      <c r="AI38" s="419">
        <f>SUM('26:25'!AI38)</f>
        <v>0</v>
      </c>
      <c r="AJ38" s="419">
        <f>SUM('26:25'!AJ38)</f>
        <v>0</v>
      </c>
      <c r="AK38" s="589"/>
      <c r="AL38" s="419">
        <f>SUM('26:25'!AL38)</f>
        <v>0</v>
      </c>
      <c r="AM38" s="419">
        <f>SUM('26:25'!AM38)</f>
        <v>0</v>
      </c>
      <c r="AN38" s="419">
        <f>SUM('26:25'!AN38)</f>
        <v>0</v>
      </c>
      <c r="AO38" s="419">
        <f>SUM('26:25'!AO38)</f>
        <v>0</v>
      </c>
      <c r="AP38" s="593"/>
      <c r="AQ38" s="419">
        <f>SUM('26:25'!AQ38)</f>
        <v>0</v>
      </c>
      <c r="AR38" s="419">
        <f>SUM('26:25'!AR38)</f>
        <v>0</v>
      </c>
      <c r="AS38" s="419">
        <f>SUM('26:25'!AS38)</f>
        <v>0</v>
      </c>
      <c r="AT38" s="419">
        <f>SUM('26:25'!AT38)</f>
        <v>0</v>
      </c>
      <c r="AU38" s="419">
        <f>SUM('26:25'!AU38)</f>
        <v>0</v>
      </c>
      <c r="AV38" s="419">
        <f>SUM('26:25'!AV38)</f>
        <v>0</v>
      </c>
      <c r="AW38" s="419">
        <f>SUM('26:25'!AW38)</f>
        <v>0</v>
      </c>
      <c r="AX38" s="419">
        <f>SUM('26:25'!AX38)</f>
        <v>0</v>
      </c>
      <c r="AY38" s="419">
        <f>SUM('26:25'!AY38)</f>
        <v>0</v>
      </c>
      <c r="AZ38" s="419">
        <f>SUM('26:25'!AZ38)</f>
        <v>0</v>
      </c>
      <c r="BA38" s="419">
        <f>SUM('26:25'!BA38)</f>
        <v>0</v>
      </c>
      <c r="BB38" s="419">
        <f>SUM('26:25'!BB38)</f>
        <v>0</v>
      </c>
      <c r="BC38" s="419">
        <f>SUM('26:25'!BC38)</f>
        <v>0</v>
      </c>
      <c r="BD38" s="589"/>
      <c r="BE38" s="419">
        <f>SUM('26:25'!BE38)</f>
        <v>0</v>
      </c>
      <c r="BF38" s="419">
        <f>SUM('26:25'!BF38)</f>
        <v>0</v>
      </c>
      <c r="BG38" s="419">
        <f>SUM('26:25'!BG38)</f>
        <v>0</v>
      </c>
      <c r="BH38" s="419">
        <f>SUM('26:25'!BH38)</f>
        <v>0</v>
      </c>
      <c r="BI38" s="589"/>
      <c r="BJ38" s="419">
        <f>SUM('26:25'!BJ38)</f>
        <v>0</v>
      </c>
      <c r="BK38" s="419">
        <f>SUM('26:25'!BK38)</f>
        <v>0</v>
      </c>
      <c r="BL38" s="419">
        <f>SUM('26:25'!BL38)</f>
        <v>0</v>
      </c>
      <c r="BM38" s="419">
        <f>SUM('26:25'!BM38)</f>
        <v>23130</v>
      </c>
      <c r="BN38" s="419">
        <f>SUM('26:25'!BN38)</f>
        <v>0</v>
      </c>
      <c r="BO38" s="419">
        <f>SUM('26:25'!BO38)</f>
        <v>0</v>
      </c>
      <c r="BP38" s="419">
        <f>SUM('26:25'!BP38)</f>
        <v>0</v>
      </c>
      <c r="BQ38" s="419">
        <f>SUM('26:25'!BQ38)</f>
        <v>0</v>
      </c>
      <c r="BR38" s="419">
        <f>SUM('26:25'!BR38)</f>
        <v>0</v>
      </c>
      <c r="BS38" s="419">
        <f>SUM('26:25'!BS38)</f>
        <v>0</v>
      </c>
      <c r="BT38" s="419">
        <f>SUM('26:25'!BT38)</f>
        <v>0</v>
      </c>
      <c r="BU38" s="419">
        <f>SUM('26:25'!BU38)</f>
        <v>0</v>
      </c>
      <c r="BV38" s="419">
        <f>SUM('26:25'!BV38)</f>
        <v>0</v>
      </c>
      <c r="BW38" s="419">
        <f>SUM('26:25'!BW38)</f>
        <v>0</v>
      </c>
      <c r="BX38" s="813">
        <f t="shared" si="1"/>
        <v>23130</v>
      </c>
    </row>
    <row r="39" spans="1:84" ht="19.5" customHeight="1" x14ac:dyDescent="0.25">
      <c r="A39" s="418">
        <f>'BANG LUONG 1'!A42</f>
        <v>34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>
        <f>SUM('26:25'!E39)</f>
        <v>0</v>
      </c>
      <c r="F39" s="419">
        <f>SUM('26:25'!F39)</f>
        <v>0</v>
      </c>
      <c r="G39" s="419">
        <f>SUM('26:25'!G39)</f>
        <v>0</v>
      </c>
      <c r="H39" s="419">
        <f>SUM('26:25'!H39)</f>
        <v>0</v>
      </c>
      <c r="I39" s="419">
        <f>SUM('26:25'!I39)</f>
        <v>0</v>
      </c>
      <c r="J39" s="419">
        <f>SUM('26:25'!J39)</f>
        <v>0</v>
      </c>
      <c r="K39" s="419">
        <f>SUM('26:25'!K39)</f>
        <v>0</v>
      </c>
      <c r="L39" s="419">
        <f>SUM('26:25'!L39)</f>
        <v>0</v>
      </c>
      <c r="M39" s="419">
        <f>SUM('26:25'!M39)</f>
        <v>0</v>
      </c>
      <c r="N39" s="419">
        <f>SUM('26:25'!N39)</f>
        <v>0</v>
      </c>
      <c r="O39" s="419">
        <f>SUM('26:25'!O39)</f>
        <v>0</v>
      </c>
      <c r="P39" s="419">
        <f>SUM('26:25'!P39)</f>
        <v>0</v>
      </c>
      <c r="Q39" s="419">
        <f>SUM('26:25'!Q39)</f>
        <v>0</v>
      </c>
      <c r="R39" s="419">
        <f>SUM('26:25'!R39)</f>
        <v>0</v>
      </c>
      <c r="S39" s="419">
        <f>SUM('26:25'!S39)</f>
        <v>0</v>
      </c>
      <c r="T39" s="419">
        <f>SUM('26:25'!T39)</f>
        <v>0</v>
      </c>
      <c r="U39" s="589"/>
      <c r="V39" s="419">
        <f>SUM('26:25'!V39)</f>
        <v>0</v>
      </c>
      <c r="W39" s="419">
        <f>SUM('26:25'!W39)</f>
        <v>0</v>
      </c>
      <c r="X39" s="419">
        <f>SUM('26:25'!X39)</f>
        <v>0</v>
      </c>
      <c r="Y39" s="419">
        <f>SUM('26:25'!Y39)</f>
        <v>0</v>
      </c>
      <c r="Z39" s="419">
        <f>SUM('26:25'!Z39)</f>
        <v>0</v>
      </c>
      <c r="AA39" s="419">
        <f>SUM('26:25'!AA39)</f>
        <v>0</v>
      </c>
      <c r="AB39" s="419">
        <f>SUM('26:25'!AB39)</f>
        <v>0</v>
      </c>
      <c r="AC39" s="419">
        <f>SUM('26:25'!AC39)</f>
        <v>0</v>
      </c>
      <c r="AD39" s="419">
        <f>SUM('26:25'!AD39)</f>
        <v>0</v>
      </c>
      <c r="AE39" s="419">
        <f>SUM('26:25'!AE39)</f>
        <v>0</v>
      </c>
      <c r="AF39" s="419">
        <f>SUM('26:25'!AF39)</f>
        <v>0</v>
      </c>
      <c r="AG39" s="419">
        <f>SUM('26:25'!AG39)</f>
        <v>0</v>
      </c>
      <c r="AH39" s="419">
        <f>SUM('26:25'!AH39)</f>
        <v>0</v>
      </c>
      <c r="AI39" s="419">
        <f>SUM('26:25'!AI39)</f>
        <v>0</v>
      </c>
      <c r="AJ39" s="419">
        <f>SUM('26:25'!AJ39)</f>
        <v>0</v>
      </c>
      <c r="AK39" s="589"/>
      <c r="AL39" s="419">
        <f>SUM('26:25'!AL39)</f>
        <v>0</v>
      </c>
      <c r="AM39" s="419">
        <f>SUM('26:25'!AM39)</f>
        <v>0</v>
      </c>
      <c r="AN39" s="419">
        <f>SUM('26:25'!AN39)</f>
        <v>0</v>
      </c>
      <c r="AO39" s="419">
        <f>SUM('26:25'!AO39)</f>
        <v>0</v>
      </c>
      <c r="AP39" s="593"/>
      <c r="AQ39" s="419">
        <f>SUM('26:25'!AQ39)</f>
        <v>0</v>
      </c>
      <c r="AR39" s="419">
        <f>SUM('26:25'!AR39)</f>
        <v>0</v>
      </c>
      <c r="AS39" s="419">
        <f>SUM('26:25'!AS39)</f>
        <v>0</v>
      </c>
      <c r="AT39" s="419">
        <f>SUM('26:25'!AT39)</f>
        <v>0</v>
      </c>
      <c r="AU39" s="419">
        <f>SUM('26:25'!AU39)</f>
        <v>0</v>
      </c>
      <c r="AV39" s="419">
        <f>SUM('26:25'!AV39)</f>
        <v>0</v>
      </c>
      <c r="AW39" s="419">
        <f>SUM('26:25'!AW39)</f>
        <v>0</v>
      </c>
      <c r="AX39" s="419">
        <f>SUM('26:25'!AX39)</f>
        <v>0</v>
      </c>
      <c r="AY39" s="419">
        <f>SUM('26:25'!AY39)</f>
        <v>0</v>
      </c>
      <c r="AZ39" s="419">
        <f>SUM('26:25'!AZ39)</f>
        <v>0</v>
      </c>
      <c r="BA39" s="419">
        <f>SUM('26:25'!BA39)</f>
        <v>0</v>
      </c>
      <c r="BB39" s="419">
        <f>SUM('26:25'!BB39)</f>
        <v>0</v>
      </c>
      <c r="BC39" s="419">
        <f>SUM('26:25'!BC39)</f>
        <v>0</v>
      </c>
      <c r="BD39" s="589"/>
      <c r="BE39" s="419">
        <f>SUM('26:25'!BE39)</f>
        <v>0</v>
      </c>
      <c r="BF39" s="419">
        <f>SUM('26:25'!BF39)</f>
        <v>0</v>
      </c>
      <c r="BG39" s="419">
        <f>SUM('26:25'!BG39)</f>
        <v>0</v>
      </c>
      <c r="BH39" s="419">
        <f>SUM('26:25'!BH39)</f>
        <v>0</v>
      </c>
      <c r="BI39" s="589"/>
      <c r="BJ39" s="419">
        <f>SUM('26:25'!BJ39)</f>
        <v>0</v>
      </c>
      <c r="BK39" s="419">
        <f>SUM('26:25'!BK39)</f>
        <v>0</v>
      </c>
      <c r="BL39" s="419">
        <f>SUM('26:25'!BL39)</f>
        <v>0</v>
      </c>
      <c r="BM39" s="419">
        <f>SUM('26:25'!BM39)</f>
        <v>13440</v>
      </c>
      <c r="BN39" s="419">
        <f>SUM('26:25'!BN39)</f>
        <v>0</v>
      </c>
      <c r="BO39" s="419">
        <f>SUM('26:25'!BO39)</f>
        <v>0</v>
      </c>
      <c r="BP39" s="419">
        <f>SUM('26:25'!BP39)</f>
        <v>0</v>
      </c>
      <c r="BQ39" s="419">
        <f>SUM('26:25'!BQ39)</f>
        <v>0</v>
      </c>
      <c r="BR39" s="419">
        <f>SUM('26:25'!BR39)</f>
        <v>0</v>
      </c>
      <c r="BS39" s="419">
        <f>SUM('26:25'!BS39)</f>
        <v>0</v>
      </c>
      <c r="BT39" s="419">
        <f>SUM('26:25'!BT39)</f>
        <v>0</v>
      </c>
      <c r="BU39" s="419">
        <f>SUM('26:25'!BU39)</f>
        <v>0</v>
      </c>
      <c r="BV39" s="419">
        <f>SUM('26:25'!BV39)</f>
        <v>0</v>
      </c>
      <c r="BW39" s="419">
        <f>SUM('26:25'!BW39)</f>
        <v>0</v>
      </c>
      <c r="BX39" s="813">
        <f t="shared" si="1"/>
        <v>13440</v>
      </c>
    </row>
    <row r="40" spans="1:84" ht="19.5" customHeight="1" x14ac:dyDescent="0.25">
      <c r="A40" s="418">
        <f>'BANG LUONG 1'!A43</f>
        <v>35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>
        <f>SUM('26:25'!E40)</f>
        <v>0</v>
      </c>
      <c r="F40" s="419">
        <f>SUM('26:25'!F40)</f>
        <v>0</v>
      </c>
      <c r="G40" s="419">
        <f>SUM('26:25'!G40)</f>
        <v>0</v>
      </c>
      <c r="H40" s="419">
        <f>SUM('26:25'!H40)</f>
        <v>0</v>
      </c>
      <c r="I40" s="419">
        <f>SUM('26:25'!I40)</f>
        <v>0</v>
      </c>
      <c r="J40" s="419">
        <f>SUM('26:25'!J40)</f>
        <v>0</v>
      </c>
      <c r="K40" s="419">
        <f>SUM('26:25'!K40)</f>
        <v>0</v>
      </c>
      <c r="L40" s="419">
        <f>SUM('26:25'!L40)</f>
        <v>0</v>
      </c>
      <c r="M40" s="419">
        <f>SUM('26:25'!M40)</f>
        <v>0</v>
      </c>
      <c r="N40" s="419">
        <f>SUM('26:25'!N40)</f>
        <v>0</v>
      </c>
      <c r="O40" s="419">
        <f>SUM('26:25'!O40)</f>
        <v>0</v>
      </c>
      <c r="P40" s="419">
        <f>SUM('26:25'!P40)</f>
        <v>0</v>
      </c>
      <c r="Q40" s="419">
        <f>SUM('26:25'!Q40)</f>
        <v>0</v>
      </c>
      <c r="R40" s="419">
        <f>SUM('26:25'!R40)</f>
        <v>0</v>
      </c>
      <c r="S40" s="419">
        <f>SUM('26:25'!S40)</f>
        <v>0</v>
      </c>
      <c r="T40" s="419">
        <f>SUM('26:25'!T40)</f>
        <v>0</v>
      </c>
      <c r="U40" s="589"/>
      <c r="V40" s="419">
        <f>SUM('26:25'!V40)</f>
        <v>0</v>
      </c>
      <c r="W40" s="419">
        <f>SUM('26:25'!W40)</f>
        <v>0</v>
      </c>
      <c r="X40" s="419">
        <f>SUM('26:25'!X40)</f>
        <v>0</v>
      </c>
      <c r="Y40" s="419">
        <f>SUM('26:25'!Y40)</f>
        <v>0</v>
      </c>
      <c r="Z40" s="419">
        <f>SUM('26:25'!Z40)</f>
        <v>0</v>
      </c>
      <c r="AA40" s="419">
        <f>SUM('26:25'!AA40)</f>
        <v>0</v>
      </c>
      <c r="AB40" s="419">
        <f>SUM('26:25'!AB40)</f>
        <v>0</v>
      </c>
      <c r="AC40" s="419">
        <f>SUM('26:25'!AC40)</f>
        <v>0</v>
      </c>
      <c r="AD40" s="419">
        <f>SUM('26:25'!AD40)</f>
        <v>0</v>
      </c>
      <c r="AE40" s="419">
        <f>SUM('26:25'!AE40)</f>
        <v>0</v>
      </c>
      <c r="AF40" s="419">
        <f>SUM('26:25'!AF40)</f>
        <v>0</v>
      </c>
      <c r="AG40" s="419">
        <f>SUM('26:25'!AG40)</f>
        <v>0</v>
      </c>
      <c r="AH40" s="419">
        <f>SUM('26:25'!AH40)</f>
        <v>0</v>
      </c>
      <c r="AI40" s="419">
        <f>SUM('26:25'!AI40)</f>
        <v>0</v>
      </c>
      <c r="AJ40" s="419">
        <f>SUM('26:25'!AJ40)</f>
        <v>0</v>
      </c>
      <c r="AK40" s="589"/>
      <c r="AL40" s="419">
        <f>SUM('26:25'!AL40)</f>
        <v>0</v>
      </c>
      <c r="AM40" s="419">
        <f>SUM('26:25'!AM40)</f>
        <v>0</v>
      </c>
      <c r="AN40" s="419">
        <f>SUM('26:25'!AN40)</f>
        <v>0</v>
      </c>
      <c r="AO40" s="419">
        <f>SUM('26:25'!AO40)</f>
        <v>0</v>
      </c>
      <c r="AP40" s="593"/>
      <c r="AQ40" s="419">
        <f>SUM('26:25'!AQ40)</f>
        <v>0</v>
      </c>
      <c r="AR40" s="419">
        <f>SUM('26:25'!AR40)</f>
        <v>0</v>
      </c>
      <c r="AS40" s="419">
        <f>SUM('26:25'!AS40)</f>
        <v>0</v>
      </c>
      <c r="AT40" s="419">
        <f>SUM('26:25'!AT40)</f>
        <v>0</v>
      </c>
      <c r="AU40" s="419">
        <f>SUM('26:25'!AU40)</f>
        <v>0</v>
      </c>
      <c r="AV40" s="419">
        <f>SUM('26:25'!AV40)</f>
        <v>0</v>
      </c>
      <c r="AW40" s="419">
        <f>SUM('26:25'!AW40)</f>
        <v>0</v>
      </c>
      <c r="AX40" s="419">
        <f>SUM('26:25'!AX40)</f>
        <v>0</v>
      </c>
      <c r="AY40" s="419">
        <f>SUM('26:25'!AY40)</f>
        <v>0</v>
      </c>
      <c r="AZ40" s="419">
        <f>SUM('26:25'!AZ40)</f>
        <v>0</v>
      </c>
      <c r="BA40" s="419">
        <f>SUM('26:25'!BA40)</f>
        <v>0</v>
      </c>
      <c r="BB40" s="419">
        <f>SUM('26:25'!BB40)</f>
        <v>0</v>
      </c>
      <c r="BC40" s="419">
        <f>SUM('26:25'!BC40)</f>
        <v>0</v>
      </c>
      <c r="BD40" s="589"/>
      <c r="BE40" s="419">
        <f>SUM('26:25'!BE40)</f>
        <v>0</v>
      </c>
      <c r="BF40" s="419">
        <f>SUM('26:25'!BF40)</f>
        <v>0</v>
      </c>
      <c r="BG40" s="419">
        <f>SUM('26:25'!BG40)</f>
        <v>0</v>
      </c>
      <c r="BH40" s="419">
        <f>SUM('26:25'!BH40)</f>
        <v>0</v>
      </c>
      <c r="BI40" s="589"/>
      <c r="BJ40" s="419">
        <f>SUM('26:25'!BJ40)</f>
        <v>0</v>
      </c>
      <c r="BK40" s="419">
        <f>SUM('26:25'!BK40)</f>
        <v>0</v>
      </c>
      <c r="BL40" s="419">
        <f>SUM('26:25'!BL40)</f>
        <v>0</v>
      </c>
      <c r="BM40" s="419">
        <f>SUM('26:25'!BM40)</f>
        <v>13440</v>
      </c>
      <c r="BN40" s="419">
        <f>SUM('26:25'!BN40)</f>
        <v>0</v>
      </c>
      <c r="BO40" s="419">
        <f>SUM('26:25'!BO40)</f>
        <v>0</v>
      </c>
      <c r="BP40" s="419">
        <f>SUM('26:25'!BP40)</f>
        <v>0</v>
      </c>
      <c r="BQ40" s="419">
        <f>SUM('26:25'!BQ40)</f>
        <v>0</v>
      </c>
      <c r="BR40" s="419">
        <f>SUM('26:25'!BR40)</f>
        <v>0</v>
      </c>
      <c r="BS40" s="419">
        <f>SUM('26:25'!BS40)</f>
        <v>0</v>
      </c>
      <c r="BT40" s="419">
        <f>SUM('26:25'!BT40)</f>
        <v>0</v>
      </c>
      <c r="BU40" s="419">
        <f>SUM('26:25'!BU40)</f>
        <v>0</v>
      </c>
      <c r="BV40" s="419">
        <f>SUM('26:25'!BV40)</f>
        <v>0</v>
      </c>
      <c r="BW40" s="419">
        <f>SUM('26:25'!BW40)</f>
        <v>0</v>
      </c>
      <c r="BX40" s="813">
        <f t="shared" si="1"/>
        <v>13440</v>
      </c>
    </row>
    <row r="41" spans="1:84" ht="19.5" customHeight="1" x14ac:dyDescent="0.25">
      <c r="A41" s="418">
        <f>'BANG LUONG 1'!A44</f>
        <v>36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>
        <f>SUM('26:25'!E41)</f>
        <v>0</v>
      </c>
      <c r="F41" s="419">
        <f>SUM('26:25'!F41)</f>
        <v>0</v>
      </c>
      <c r="G41" s="419">
        <f>SUM('26:25'!G41)</f>
        <v>0</v>
      </c>
      <c r="H41" s="419">
        <f>SUM('26:25'!H41)</f>
        <v>0</v>
      </c>
      <c r="I41" s="419">
        <f>SUM('26:25'!I41)</f>
        <v>0</v>
      </c>
      <c r="J41" s="419">
        <f>SUM('26:25'!J41)</f>
        <v>0</v>
      </c>
      <c r="K41" s="419">
        <f>SUM('26:25'!K41)</f>
        <v>0</v>
      </c>
      <c r="L41" s="419">
        <f>SUM('26:25'!L41)</f>
        <v>0</v>
      </c>
      <c r="M41" s="419">
        <f>SUM('26:25'!M41)</f>
        <v>0</v>
      </c>
      <c r="N41" s="419">
        <f>SUM('26:25'!N41)</f>
        <v>0</v>
      </c>
      <c r="O41" s="419">
        <f>SUM('26:25'!O41)</f>
        <v>0</v>
      </c>
      <c r="P41" s="419">
        <f>SUM('26:25'!P41)</f>
        <v>0</v>
      </c>
      <c r="Q41" s="419">
        <f>SUM('26:25'!Q41)</f>
        <v>0</v>
      </c>
      <c r="R41" s="419">
        <f>SUM('26:25'!R41)</f>
        <v>0</v>
      </c>
      <c r="S41" s="419">
        <f>SUM('26:25'!S41)</f>
        <v>0</v>
      </c>
      <c r="T41" s="419">
        <f>SUM('26:25'!T41)</f>
        <v>0</v>
      </c>
      <c r="U41" s="589"/>
      <c r="V41" s="419">
        <f>SUM('26:25'!V41)</f>
        <v>0</v>
      </c>
      <c r="W41" s="419">
        <f>SUM('26:25'!W41)</f>
        <v>0</v>
      </c>
      <c r="X41" s="419">
        <f>SUM('26:25'!X41)</f>
        <v>0</v>
      </c>
      <c r="Y41" s="419">
        <f>SUM('26:25'!Y41)</f>
        <v>0</v>
      </c>
      <c r="Z41" s="419">
        <f>SUM('26:25'!Z41)</f>
        <v>0</v>
      </c>
      <c r="AA41" s="419">
        <f>SUM('26:25'!AA41)</f>
        <v>0</v>
      </c>
      <c r="AB41" s="419">
        <f>SUM('26:25'!AB41)</f>
        <v>0</v>
      </c>
      <c r="AC41" s="419">
        <f>SUM('26:25'!AC41)</f>
        <v>0</v>
      </c>
      <c r="AD41" s="419">
        <f>SUM('26:25'!AD41)</f>
        <v>0</v>
      </c>
      <c r="AE41" s="419">
        <f>SUM('26:25'!AE41)</f>
        <v>0</v>
      </c>
      <c r="AF41" s="419">
        <f>SUM('26:25'!AF41)</f>
        <v>0</v>
      </c>
      <c r="AG41" s="419">
        <f>SUM('26:25'!AG41)</f>
        <v>0</v>
      </c>
      <c r="AH41" s="419">
        <f>SUM('26:25'!AH41)</f>
        <v>0</v>
      </c>
      <c r="AI41" s="419">
        <f>SUM('26:25'!AI41)</f>
        <v>0</v>
      </c>
      <c r="AJ41" s="419">
        <f>SUM('26:25'!AJ41)</f>
        <v>0</v>
      </c>
      <c r="AK41" s="589"/>
      <c r="AL41" s="419">
        <f>SUM('26:25'!AL41)</f>
        <v>0</v>
      </c>
      <c r="AM41" s="419">
        <f>SUM('26:25'!AM41)</f>
        <v>0</v>
      </c>
      <c r="AN41" s="419">
        <f>SUM('26:25'!AN41)</f>
        <v>0</v>
      </c>
      <c r="AO41" s="419">
        <f>SUM('26:25'!AO41)</f>
        <v>0</v>
      </c>
      <c r="AP41" s="593"/>
      <c r="AQ41" s="419">
        <f>SUM('26:25'!AQ41)</f>
        <v>0</v>
      </c>
      <c r="AR41" s="419">
        <f>SUM('26:25'!AR41)</f>
        <v>0</v>
      </c>
      <c r="AS41" s="419">
        <f>SUM('26:25'!AS41)</f>
        <v>0</v>
      </c>
      <c r="AT41" s="419">
        <f>SUM('26:25'!AT41)</f>
        <v>0</v>
      </c>
      <c r="AU41" s="419">
        <f>SUM('26:25'!AU41)</f>
        <v>0</v>
      </c>
      <c r="AV41" s="419">
        <f>SUM('26:25'!AV41)</f>
        <v>0</v>
      </c>
      <c r="AW41" s="419">
        <f>SUM('26:25'!AW41)</f>
        <v>0</v>
      </c>
      <c r="AX41" s="419">
        <f>SUM('26:25'!AX41)</f>
        <v>0</v>
      </c>
      <c r="AY41" s="419">
        <f>SUM('26:25'!AY41)</f>
        <v>0</v>
      </c>
      <c r="AZ41" s="419">
        <f>SUM('26:25'!AZ41)</f>
        <v>0</v>
      </c>
      <c r="BA41" s="419">
        <f>SUM('26:25'!BA41)</f>
        <v>0</v>
      </c>
      <c r="BB41" s="419">
        <f>SUM('26:25'!BB41)</f>
        <v>0</v>
      </c>
      <c r="BC41" s="419">
        <f>SUM('26:25'!BC41)</f>
        <v>0</v>
      </c>
      <c r="BD41" s="589"/>
      <c r="BE41" s="419">
        <f>SUM('26:25'!BE41)</f>
        <v>0</v>
      </c>
      <c r="BF41" s="419">
        <f>SUM('26:25'!BF41)</f>
        <v>0</v>
      </c>
      <c r="BG41" s="419">
        <f>SUM('26:25'!BG41)</f>
        <v>0</v>
      </c>
      <c r="BH41" s="419">
        <f>SUM('26:25'!BH41)</f>
        <v>0</v>
      </c>
      <c r="BI41" s="589"/>
      <c r="BJ41" s="419">
        <f>SUM('26:25'!BJ41)</f>
        <v>0</v>
      </c>
      <c r="BK41" s="419">
        <f>SUM('26:25'!BK41)</f>
        <v>0</v>
      </c>
      <c r="BL41" s="419">
        <f>SUM('26:25'!BL41)</f>
        <v>0</v>
      </c>
      <c r="BM41" s="419">
        <f>SUM('26:25'!BM41)</f>
        <v>14400</v>
      </c>
      <c r="BN41" s="419">
        <f>SUM('26:25'!BN41)</f>
        <v>0</v>
      </c>
      <c r="BO41" s="419">
        <f>SUM('26:25'!BO41)</f>
        <v>0</v>
      </c>
      <c r="BP41" s="419">
        <f>SUM('26:25'!BP41)</f>
        <v>0</v>
      </c>
      <c r="BQ41" s="419">
        <f>SUM('26:25'!BQ41)</f>
        <v>0</v>
      </c>
      <c r="BR41" s="419">
        <f>SUM('26:25'!BR41)</f>
        <v>0</v>
      </c>
      <c r="BS41" s="419">
        <f>SUM('26:25'!BS41)</f>
        <v>0</v>
      </c>
      <c r="BT41" s="419">
        <f>SUM('26:25'!BT41)</f>
        <v>0</v>
      </c>
      <c r="BU41" s="419">
        <f>SUM('26:25'!BU41)</f>
        <v>0</v>
      </c>
      <c r="BV41" s="419">
        <f>SUM('26:25'!BV41)</f>
        <v>0</v>
      </c>
      <c r="BW41" s="419">
        <f>SUM('26:25'!BW41)</f>
        <v>0</v>
      </c>
      <c r="BX41" s="813">
        <f t="shared" si="1"/>
        <v>14400</v>
      </c>
    </row>
    <row r="42" spans="1:84" ht="19.5" customHeight="1" x14ac:dyDescent="0.25">
      <c r="A42" s="418"/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>
        <f>SUM('26:25'!E42)</f>
        <v>0</v>
      </c>
      <c r="F42" s="419">
        <f>SUM('26:25'!F42)</f>
        <v>0</v>
      </c>
      <c r="G42" s="419">
        <f>SUM('26:25'!G42)</f>
        <v>0</v>
      </c>
      <c r="H42" s="419">
        <f>SUM('26:25'!H42)</f>
        <v>0</v>
      </c>
      <c r="I42" s="419">
        <f>SUM('26:25'!I42)</f>
        <v>0</v>
      </c>
      <c r="J42" s="419">
        <f>SUM('26:25'!J42)</f>
        <v>0</v>
      </c>
      <c r="K42" s="419">
        <f>SUM('26:25'!K42)</f>
        <v>0</v>
      </c>
      <c r="L42" s="419">
        <f>SUM('26:25'!L42)</f>
        <v>0</v>
      </c>
      <c r="M42" s="419">
        <f>SUM('26:25'!M42)</f>
        <v>0</v>
      </c>
      <c r="N42" s="419">
        <f>SUM('26:25'!N42)</f>
        <v>0</v>
      </c>
      <c r="O42" s="419">
        <f>SUM('26:25'!O42)</f>
        <v>0</v>
      </c>
      <c r="P42" s="419">
        <f>SUM('26:25'!P42)</f>
        <v>0</v>
      </c>
      <c r="Q42" s="419">
        <f>SUM('26:25'!Q42)</f>
        <v>0</v>
      </c>
      <c r="R42" s="419">
        <f>SUM('26:25'!R42)</f>
        <v>0</v>
      </c>
      <c r="S42" s="419">
        <f>SUM('26:25'!S42)</f>
        <v>0</v>
      </c>
      <c r="T42" s="419">
        <f>SUM('26:25'!T42)</f>
        <v>0</v>
      </c>
      <c r="U42" s="589"/>
      <c r="V42" s="419">
        <f>SUM('26:25'!V42)</f>
        <v>0</v>
      </c>
      <c r="W42" s="419">
        <f>SUM('26:25'!W42)</f>
        <v>0</v>
      </c>
      <c r="X42" s="419">
        <f>SUM('26:25'!X42)</f>
        <v>0</v>
      </c>
      <c r="Y42" s="419">
        <f>SUM('26:25'!Y42)</f>
        <v>0</v>
      </c>
      <c r="Z42" s="419">
        <f>SUM('26:25'!Z42)</f>
        <v>0</v>
      </c>
      <c r="AA42" s="419">
        <f>SUM('26:25'!AA42)</f>
        <v>0</v>
      </c>
      <c r="AB42" s="419">
        <f>SUM('26:25'!AB42)</f>
        <v>0</v>
      </c>
      <c r="AC42" s="419">
        <f>SUM('26:25'!AC42)</f>
        <v>0</v>
      </c>
      <c r="AD42" s="419">
        <f>SUM('26:25'!AD42)</f>
        <v>0</v>
      </c>
      <c r="AE42" s="419">
        <f>SUM('26:25'!AE42)</f>
        <v>0</v>
      </c>
      <c r="AF42" s="419">
        <f>SUM('26:25'!AF42)</f>
        <v>0</v>
      </c>
      <c r="AG42" s="419">
        <f>SUM('26:25'!AG42)</f>
        <v>0</v>
      </c>
      <c r="AH42" s="419">
        <f>SUM('26:25'!AH42)</f>
        <v>0</v>
      </c>
      <c r="AI42" s="419">
        <f>SUM('26:25'!AI42)</f>
        <v>0</v>
      </c>
      <c r="AJ42" s="419">
        <f>SUM('26:25'!AJ42)</f>
        <v>0</v>
      </c>
      <c r="AK42" s="589"/>
      <c r="AL42" s="419">
        <f>SUM('26:25'!AL42)</f>
        <v>0</v>
      </c>
      <c r="AM42" s="419">
        <f>SUM('26:25'!AM42)</f>
        <v>0</v>
      </c>
      <c r="AN42" s="419">
        <f>SUM('26:25'!AN42)</f>
        <v>0</v>
      </c>
      <c r="AO42" s="419">
        <f>SUM('26:25'!AO42)</f>
        <v>0</v>
      </c>
      <c r="AP42" s="593"/>
      <c r="AQ42" s="419">
        <f>SUM('26:25'!AQ42)</f>
        <v>0</v>
      </c>
      <c r="AR42" s="419">
        <f>SUM('26:25'!AR42)</f>
        <v>0</v>
      </c>
      <c r="AS42" s="419">
        <f>SUM('26:25'!AS42)</f>
        <v>0</v>
      </c>
      <c r="AT42" s="419">
        <f>SUM('26:25'!AT42)</f>
        <v>0</v>
      </c>
      <c r="AU42" s="419">
        <f>SUM('26:25'!AU42)</f>
        <v>0</v>
      </c>
      <c r="AV42" s="419">
        <f>SUM('26:25'!AV42)</f>
        <v>0</v>
      </c>
      <c r="AW42" s="419">
        <f>SUM('26:25'!AW42)</f>
        <v>0</v>
      </c>
      <c r="AX42" s="419">
        <f>SUM('26:25'!AX42)</f>
        <v>0</v>
      </c>
      <c r="AY42" s="419">
        <f>SUM('26:25'!AY42)</f>
        <v>0</v>
      </c>
      <c r="AZ42" s="419">
        <f>SUM('26:25'!AZ42)</f>
        <v>0</v>
      </c>
      <c r="BA42" s="419">
        <f>SUM('26:25'!BA42)</f>
        <v>0</v>
      </c>
      <c r="BB42" s="419">
        <f>SUM('26:25'!BB42)</f>
        <v>0</v>
      </c>
      <c r="BC42" s="419">
        <f>SUM('26:25'!BC42)</f>
        <v>0</v>
      </c>
      <c r="BD42" s="589"/>
      <c r="BE42" s="419">
        <f>SUM('26:25'!BE42)</f>
        <v>0</v>
      </c>
      <c r="BF42" s="419">
        <f>SUM('26:25'!BF42)</f>
        <v>0</v>
      </c>
      <c r="BG42" s="419">
        <f>SUM('26:25'!BG42)</f>
        <v>0</v>
      </c>
      <c r="BH42" s="419">
        <f>SUM('26:25'!BH42)</f>
        <v>0</v>
      </c>
      <c r="BI42" s="589"/>
      <c r="BJ42" s="419">
        <f>SUM('26:25'!BJ42)</f>
        <v>0</v>
      </c>
      <c r="BK42" s="419">
        <f>SUM('26:25'!BK42)</f>
        <v>0</v>
      </c>
      <c r="BL42" s="419">
        <f>SUM('26:25'!BL42)</f>
        <v>0</v>
      </c>
      <c r="BM42" s="419">
        <f>SUM('26:25'!BM42)</f>
        <v>12480</v>
      </c>
      <c r="BN42" s="419">
        <f>SUM('26:25'!BN42)</f>
        <v>0</v>
      </c>
      <c r="BO42" s="419">
        <f>SUM('26:25'!BO42)</f>
        <v>0</v>
      </c>
      <c r="BP42" s="419">
        <f>SUM('26:25'!BP42)</f>
        <v>0</v>
      </c>
      <c r="BQ42" s="419">
        <f>SUM('26:25'!BQ42)</f>
        <v>0</v>
      </c>
      <c r="BR42" s="419">
        <f>SUM('26:25'!BR42)</f>
        <v>0</v>
      </c>
      <c r="BS42" s="419">
        <f>SUM('26:25'!BS42)</f>
        <v>0</v>
      </c>
      <c r="BT42" s="419">
        <f>SUM('26:25'!BT42)</f>
        <v>0</v>
      </c>
      <c r="BU42" s="419">
        <f>SUM('26:25'!BU42)</f>
        <v>0</v>
      </c>
      <c r="BV42" s="419">
        <f>SUM('26:25'!BV42)</f>
        <v>0</v>
      </c>
      <c r="BW42" s="419">
        <f>SUM('26:25'!BW42)</f>
        <v>0</v>
      </c>
      <c r="BX42" s="813"/>
    </row>
    <row r="43" spans="1:84" ht="19.5" customHeight="1" x14ac:dyDescent="0.25">
      <c r="A43" s="418"/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>
        <f>SUM('26:25'!E43)</f>
        <v>0</v>
      </c>
      <c r="F43" s="419">
        <f>SUM('26:25'!F43)</f>
        <v>0</v>
      </c>
      <c r="G43" s="419">
        <f>SUM('26:25'!G43)</f>
        <v>0</v>
      </c>
      <c r="H43" s="419">
        <f>SUM('26:25'!H43)</f>
        <v>0</v>
      </c>
      <c r="I43" s="419">
        <f>SUM('26:25'!I43)</f>
        <v>0</v>
      </c>
      <c r="J43" s="419">
        <f>SUM('26:25'!J43)</f>
        <v>0</v>
      </c>
      <c r="K43" s="419">
        <f>SUM('26:25'!K43)</f>
        <v>0</v>
      </c>
      <c r="L43" s="419">
        <f>SUM('26:25'!L43)</f>
        <v>0</v>
      </c>
      <c r="M43" s="419">
        <f>SUM('26:25'!M43)</f>
        <v>0</v>
      </c>
      <c r="N43" s="419">
        <f>SUM('26:25'!N43)</f>
        <v>0</v>
      </c>
      <c r="O43" s="419">
        <f>SUM('26:25'!O43)</f>
        <v>0</v>
      </c>
      <c r="P43" s="419">
        <f>SUM('26:25'!P43)</f>
        <v>0</v>
      </c>
      <c r="Q43" s="419">
        <f>SUM('26:25'!Q43)</f>
        <v>0</v>
      </c>
      <c r="R43" s="419">
        <f>SUM('26:25'!R43)</f>
        <v>0</v>
      </c>
      <c r="S43" s="419">
        <f>SUM('26:25'!S43)</f>
        <v>0</v>
      </c>
      <c r="T43" s="419">
        <f>SUM('26:25'!T43)</f>
        <v>0</v>
      </c>
      <c r="U43" s="589"/>
      <c r="V43" s="419">
        <f>SUM('26:25'!V43)</f>
        <v>0</v>
      </c>
      <c r="W43" s="419">
        <f>SUM('26:25'!W43)</f>
        <v>0</v>
      </c>
      <c r="X43" s="419">
        <f>SUM('26:25'!X43)</f>
        <v>0</v>
      </c>
      <c r="Y43" s="419">
        <f>SUM('26:25'!Y43)</f>
        <v>0</v>
      </c>
      <c r="Z43" s="419">
        <f>SUM('26:25'!Z43)</f>
        <v>0</v>
      </c>
      <c r="AA43" s="419">
        <f>SUM('26:25'!AA43)</f>
        <v>0</v>
      </c>
      <c r="AB43" s="419">
        <f>SUM('26:25'!AB43)</f>
        <v>0</v>
      </c>
      <c r="AC43" s="419">
        <f>SUM('26:25'!AC43)</f>
        <v>0</v>
      </c>
      <c r="AD43" s="419">
        <f>SUM('26:25'!AD43)</f>
        <v>0</v>
      </c>
      <c r="AE43" s="419">
        <f>SUM('26:25'!AE43)</f>
        <v>0</v>
      </c>
      <c r="AF43" s="419">
        <f>SUM('26:25'!AF43)</f>
        <v>0</v>
      </c>
      <c r="AG43" s="419">
        <f>SUM('26:25'!AG43)</f>
        <v>0</v>
      </c>
      <c r="AH43" s="419">
        <f>SUM('26:25'!AH43)</f>
        <v>0</v>
      </c>
      <c r="AI43" s="419">
        <f>SUM('26:25'!AI43)</f>
        <v>0</v>
      </c>
      <c r="AJ43" s="419">
        <f>SUM('26:25'!AJ43)</f>
        <v>0</v>
      </c>
      <c r="AK43" s="589"/>
      <c r="AL43" s="419">
        <f>SUM('26:25'!AL43)</f>
        <v>0</v>
      </c>
      <c r="AM43" s="419">
        <f>SUM('26:25'!AM43)</f>
        <v>0</v>
      </c>
      <c r="AN43" s="419">
        <f>SUM('26:25'!AN43)</f>
        <v>0</v>
      </c>
      <c r="AO43" s="419">
        <f>SUM('26:25'!AO43)</f>
        <v>0</v>
      </c>
      <c r="AP43" s="593"/>
      <c r="AQ43" s="419">
        <f>SUM('26:25'!AQ43)</f>
        <v>0</v>
      </c>
      <c r="AR43" s="419">
        <f>SUM('26:25'!AR43)</f>
        <v>0</v>
      </c>
      <c r="AS43" s="419">
        <f>SUM('26:25'!AS43)</f>
        <v>0</v>
      </c>
      <c r="AT43" s="419">
        <f>SUM('26:25'!AT43)</f>
        <v>0</v>
      </c>
      <c r="AU43" s="419">
        <f>SUM('26:25'!AU43)</f>
        <v>0</v>
      </c>
      <c r="AV43" s="419">
        <f>SUM('26:25'!AV43)</f>
        <v>0</v>
      </c>
      <c r="AW43" s="419">
        <f>SUM('26:25'!AW43)</f>
        <v>0</v>
      </c>
      <c r="AX43" s="419">
        <f>SUM('26:25'!AX43)</f>
        <v>0</v>
      </c>
      <c r="AY43" s="419">
        <f>SUM('26:25'!AY43)</f>
        <v>0</v>
      </c>
      <c r="AZ43" s="419">
        <f>SUM('26:25'!AZ43)</f>
        <v>0</v>
      </c>
      <c r="BA43" s="419">
        <f>SUM('26:25'!BA43)</f>
        <v>0</v>
      </c>
      <c r="BB43" s="419">
        <f>SUM('26:25'!BB43)</f>
        <v>0</v>
      </c>
      <c r="BC43" s="419">
        <f>SUM('26:25'!BC43)</f>
        <v>0</v>
      </c>
      <c r="BD43" s="589"/>
      <c r="BE43" s="419">
        <f>SUM('26:25'!BE43)</f>
        <v>0</v>
      </c>
      <c r="BF43" s="419">
        <f>SUM('26:25'!BF43)</f>
        <v>0</v>
      </c>
      <c r="BG43" s="419">
        <f>SUM('26:25'!BG43)</f>
        <v>0</v>
      </c>
      <c r="BH43" s="419">
        <f>SUM('26:25'!BH43)</f>
        <v>0</v>
      </c>
      <c r="BI43" s="589"/>
      <c r="BJ43" s="419">
        <f>SUM('26:25'!BJ43)</f>
        <v>0</v>
      </c>
      <c r="BK43" s="419">
        <f>SUM('26:25'!BK43)</f>
        <v>0</v>
      </c>
      <c r="BL43" s="419">
        <f>SUM('26:25'!BL43)</f>
        <v>0</v>
      </c>
      <c r="BM43" s="419">
        <f>SUM('26:25'!BM43)</f>
        <v>13920</v>
      </c>
      <c r="BN43" s="419">
        <f>SUM('26:25'!BN43)</f>
        <v>0</v>
      </c>
      <c r="BO43" s="419">
        <f>SUM('26:25'!BO43)</f>
        <v>0</v>
      </c>
      <c r="BP43" s="419">
        <f>SUM('26:25'!BP43)</f>
        <v>0</v>
      </c>
      <c r="BQ43" s="419">
        <f>SUM('26:25'!BQ43)</f>
        <v>0</v>
      </c>
      <c r="BR43" s="419">
        <f>SUM('26:25'!BR43)</f>
        <v>0</v>
      </c>
      <c r="BS43" s="419">
        <f>SUM('26:25'!BS43)</f>
        <v>0</v>
      </c>
      <c r="BT43" s="419">
        <f>SUM('26:25'!BT43)</f>
        <v>0</v>
      </c>
      <c r="BU43" s="419">
        <f>SUM('26:25'!BU43)</f>
        <v>0</v>
      </c>
      <c r="BV43" s="419">
        <f>SUM('26:25'!BV43)</f>
        <v>0</v>
      </c>
      <c r="BW43" s="419">
        <f>SUM('26:25'!BW43)</f>
        <v>0</v>
      </c>
      <c r="BX43" s="813"/>
    </row>
    <row r="44" spans="1:84" ht="19.5" customHeight="1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>
        <f>SUM('26:25'!E44)</f>
        <v>0</v>
      </c>
      <c r="F44" s="419">
        <f>SUM('26:25'!F44)</f>
        <v>0</v>
      </c>
      <c r="G44" s="419">
        <f>SUM('26:25'!G44)</f>
        <v>0</v>
      </c>
      <c r="H44" s="419">
        <f>SUM('26:25'!H44)</f>
        <v>0</v>
      </c>
      <c r="I44" s="419">
        <f>SUM('26:25'!I44)</f>
        <v>0</v>
      </c>
      <c r="J44" s="419">
        <f>SUM('26:25'!J44)</f>
        <v>0</v>
      </c>
      <c r="K44" s="419">
        <f>SUM('26:25'!K44)</f>
        <v>0</v>
      </c>
      <c r="L44" s="419">
        <f>SUM('26:25'!L44)</f>
        <v>0</v>
      </c>
      <c r="M44" s="419">
        <f>SUM('26:25'!M44)</f>
        <v>0</v>
      </c>
      <c r="N44" s="419">
        <f>SUM('26:25'!N44)</f>
        <v>0</v>
      </c>
      <c r="O44" s="419">
        <f>SUM('26:25'!O44)</f>
        <v>0</v>
      </c>
      <c r="P44" s="419">
        <f>SUM('26:25'!P44)</f>
        <v>0</v>
      </c>
      <c r="Q44" s="419">
        <f>SUM('26:25'!Q44)</f>
        <v>0</v>
      </c>
      <c r="R44" s="419">
        <f>SUM('26:25'!R44)</f>
        <v>0</v>
      </c>
      <c r="S44" s="419">
        <f>SUM('26:25'!S44)</f>
        <v>0</v>
      </c>
      <c r="T44" s="419">
        <f>SUM('26:25'!T44)</f>
        <v>0</v>
      </c>
      <c r="U44" s="589"/>
      <c r="V44" s="419">
        <f>SUM('26:25'!V44)</f>
        <v>0</v>
      </c>
      <c r="W44" s="419">
        <f>SUM('26:25'!W44)</f>
        <v>0</v>
      </c>
      <c r="X44" s="419">
        <f>SUM('26:25'!X44)</f>
        <v>0</v>
      </c>
      <c r="Y44" s="419">
        <f>SUM('26:25'!Y44)</f>
        <v>0</v>
      </c>
      <c r="Z44" s="419">
        <f>SUM('26:25'!Z44)</f>
        <v>0</v>
      </c>
      <c r="AA44" s="419">
        <f>SUM('26:25'!AA44)</f>
        <v>0</v>
      </c>
      <c r="AB44" s="419">
        <f>SUM('26:25'!AB44)</f>
        <v>0</v>
      </c>
      <c r="AC44" s="419">
        <f>SUM('26:25'!AC44)</f>
        <v>0</v>
      </c>
      <c r="AD44" s="419">
        <f>SUM('26:25'!AD44)</f>
        <v>0</v>
      </c>
      <c r="AE44" s="419">
        <f>SUM('26:25'!AE44)</f>
        <v>0</v>
      </c>
      <c r="AF44" s="419">
        <f>SUM('26:25'!AF44)</f>
        <v>0</v>
      </c>
      <c r="AG44" s="419">
        <f>SUM('26:25'!AG44)</f>
        <v>0</v>
      </c>
      <c r="AH44" s="419">
        <f>SUM('26:25'!AH44)</f>
        <v>0</v>
      </c>
      <c r="AI44" s="419">
        <f>SUM('26:25'!AI44)</f>
        <v>0</v>
      </c>
      <c r="AJ44" s="419">
        <f>SUM('26:25'!AJ44)</f>
        <v>0</v>
      </c>
      <c r="AK44" s="589"/>
      <c r="AL44" s="419">
        <f>SUM('26:25'!AL44)</f>
        <v>0</v>
      </c>
      <c r="AM44" s="419">
        <f>SUM('26:25'!AM44)</f>
        <v>0</v>
      </c>
      <c r="AN44" s="419">
        <f>SUM('26:25'!AN44)</f>
        <v>0</v>
      </c>
      <c r="AO44" s="419">
        <f>SUM('26:25'!AO44)</f>
        <v>0</v>
      </c>
      <c r="AP44" s="593"/>
      <c r="AQ44" s="419">
        <f>SUM('26:25'!AQ44)</f>
        <v>0</v>
      </c>
      <c r="AR44" s="419">
        <f>SUM('26:25'!AR44)</f>
        <v>0</v>
      </c>
      <c r="AS44" s="419">
        <f>SUM('26:25'!AS44)</f>
        <v>0</v>
      </c>
      <c r="AT44" s="419">
        <f>SUM('26:25'!AT44)</f>
        <v>0</v>
      </c>
      <c r="AU44" s="419">
        <f>SUM('26:25'!AU44)</f>
        <v>0</v>
      </c>
      <c r="AV44" s="419">
        <f>SUM('26:25'!AV44)</f>
        <v>0</v>
      </c>
      <c r="AW44" s="419">
        <f>SUM('26:25'!AW44)</f>
        <v>0</v>
      </c>
      <c r="AX44" s="419">
        <f>SUM('26:25'!AX44)</f>
        <v>0</v>
      </c>
      <c r="AY44" s="419">
        <f>SUM('26:25'!AY44)</f>
        <v>0</v>
      </c>
      <c r="AZ44" s="419">
        <f>SUM('26:25'!AZ44)</f>
        <v>0</v>
      </c>
      <c r="BA44" s="419">
        <f>SUM('26:25'!BA44)</f>
        <v>0</v>
      </c>
      <c r="BB44" s="419">
        <f>SUM('26:25'!BB44)</f>
        <v>0</v>
      </c>
      <c r="BC44" s="419">
        <f>SUM('26:25'!BC44)</f>
        <v>0</v>
      </c>
      <c r="BD44" s="589"/>
      <c r="BE44" s="419">
        <f>SUM('26:25'!BE44)</f>
        <v>0</v>
      </c>
      <c r="BF44" s="419">
        <f>SUM('26:25'!BF44)</f>
        <v>0</v>
      </c>
      <c r="BG44" s="419">
        <f>SUM('26:25'!BG44)</f>
        <v>0</v>
      </c>
      <c r="BH44" s="419">
        <f>SUM('26:25'!BH44)</f>
        <v>0</v>
      </c>
      <c r="BI44" s="589"/>
      <c r="BJ44" s="419">
        <f>SUM('26:25'!BJ44)</f>
        <v>0</v>
      </c>
      <c r="BK44" s="419">
        <f>SUM('26:25'!BK44)</f>
        <v>0</v>
      </c>
      <c r="BL44" s="419">
        <f>SUM('26:25'!BL44)</f>
        <v>0</v>
      </c>
      <c r="BM44" s="419">
        <f>SUM('26:25'!BM44)</f>
        <v>13920</v>
      </c>
      <c r="BN44" s="419">
        <f>SUM('26:25'!BN44)</f>
        <v>0</v>
      </c>
      <c r="BO44" s="419">
        <f>SUM('26:25'!BO44)</f>
        <v>0</v>
      </c>
      <c r="BP44" s="419">
        <f>SUM('26:25'!BP44)</f>
        <v>0</v>
      </c>
      <c r="BQ44" s="419">
        <f>SUM('26:25'!BQ44)</f>
        <v>0</v>
      </c>
      <c r="BR44" s="419">
        <f>SUM('26:25'!BR44)</f>
        <v>0</v>
      </c>
      <c r="BS44" s="419">
        <f>SUM('26:25'!BS44)</f>
        <v>0</v>
      </c>
      <c r="BT44" s="419">
        <f>SUM('26:25'!BT44)</f>
        <v>0</v>
      </c>
      <c r="BU44" s="419">
        <f>SUM('26:25'!BU44)</f>
        <v>0</v>
      </c>
      <c r="BV44" s="419">
        <f>SUM('26:25'!BV44)</f>
        <v>0</v>
      </c>
      <c r="BW44" s="419">
        <f>SUM('26:25'!BW44)</f>
        <v>0</v>
      </c>
      <c r="BX44" s="813"/>
    </row>
    <row r="45" spans="1:84" ht="19.5" customHeight="1" x14ac:dyDescent="0.25">
      <c r="A45" s="418">
        <f>'BANG LUONG 1'!A49</f>
        <v>40</v>
      </c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>
        <f>SUM('26:25'!E45)</f>
        <v>0</v>
      </c>
      <c r="F45" s="419">
        <f>SUM('26:25'!F45)</f>
        <v>0</v>
      </c>
      <c r="G45" s="419">
        <f>SUM('26:25'!G45)</f>
        <v>0</v>
      </c>
      <c r="H45" s="419">
        <f>SUM('26:25'!H45)</f>
        <v>0</v>
      </c>
      <c r="I45" s="419">
        <f>SUM('26:25'!I45)</f>
        <v>0</v>
      </c>
      <c r="J45" s="419">
        <f>SUM('26:25'!J45)</f>
        <v>0</v>
      </c>
      <c r="K45" s="419">
        <f>SUM('26:25'!K45)</f>
        <v>0</v>
      </c>
      <c r="L45" s="419">
        <f>SUM('26:25'!L45)</f>
        <v>0</v>
      </c>
      <c r="M45" s="419">
        <f>SUM('26:25'!M45)</f>
        <v>0</v>
      </c>
      <c r="N45" s="419">
        <f>SUM('26:25'!N45)</f>
        <v>0</v>
      </c>
      <c r="O45" s="419">
        <f>SUM('26:25'!O45)</f>
        <v>0</v>
      </c>
      <c r="P45" s="419">
        <f>SUM('26:25'!P45)</f>
        <v>0</v>
      </c>
      <c r="Q45" s="419">
        <f>SUM('26:25'!Q45)</f>
        <v>0</v>
      </c>
      <c r="R45" s="419">
        <f>SUM('26:25'!R45)</f>
        <v>0</v>
      </c>
      <c r="S45" s="419">
        <f>SUM('26:25'!S45)</f>
        <v>0</v>
      </c>
      <c r="T45" s="419">
        <f>SUM('26:25'!T45)</f>
        <v>0</v>
      </c>
      <c r="U45" s="589"/>
      <c r="V45" s="419">
        <f>SUM('26:25'!V45)</f>
        <v>0</v>
      </c>
      <c r="W45" s="419">
        <f>SUM('26:25'!W45)</f>
        <v>0</v>
      </c>
      <c r="X45" s="419">
        <f>SUM('26:25'!X45)</f>
        <v>0</v>
      </c>
      <c r="Y45" s="419">
        <f>SUM('26:25'!Y45)</f>
        <v>0</v>
      </c>
      <c r="Z45" s="419">
        <f>SUM('26:25'!Z45)</f>
        <v>0</v>
      </c>
      <c r="AA45" s="419">
        <f>SUM('26:25'!AA45)</f>
        <v>0</v>
      </c>
      <c r="AB45" s="419">
        <f>SUM('26:25'!AB45)</f>
        <v>0</v>
      </c>
      <c r="AC45" s="419">
        <f>SUM('26:25'!AC45)</f>
        <v>0</v>
      </c>
      <c r="AD45" s="419">
        <f>SUM('26:25'!AD45)</f>
        <v>0</v>
      </c>
      <c r="AE45" s="419">
        <f>SUM('26:25'!AE45)</f>
        <v>0</v>
      </c>
      <c r="AF45" s="419">
        <f>SUM('26:25'!AF45)</f>
        <v>0</v>
      </c>
      <c r="AG45" s="419">
        <f>SUM('26:25'!AG45)</f>
        <v>0</v>
      </c>
      <c r="AH45" s="419">
        <f>SUM('26:25'!AH45)</f>
        <v>0</v>
      </c>
      <c r="AI45" s="419">
        <f>SUM('26:25'!AI45)</f>
        <v>0</v>
      </c>
      <c r="AJ45" s="419">
        <f>SUM('26:25'!AJ45)</f>
        <v>0</v>
      </c>
      <c r="AK45" s="589"/>
      <c r="AL45" s="419">
        <f>SUM('26:25'!AL45)</f>
        <v>0</v>
      </c>
      <c r="AM45" s="419">
        <f>SUM('26:25'!AM45)</f>
        <v>0</v>
      </c>
      <c r="AN45" s="419">
        <f>SUM('26:25'!AN45)</f>
        <v>0</v>
      </c>
      <c r="AO45" s="419">
        <f>SUM('26:25'!AO45)</f>
        <v>0</v>
      </c>
      <c r="AP45" s="593"/>
      <c r="AQ45" s="419">
        <f>SUM('26:25'!AQ45)</f>
        <v>0</v>
      </c>
      <c r="AR45" s="419">
        <f>SUM('26:25'!AR45)</f>
        <v>0</v>
      </c>
      <c r="AS45" s="419">
        <f>SUM('26:25'!AS45)</f>
        <v>0</v>
      </c>
      <c r="AT45" s="419">
        <f>SUM('26:25'!AT45)</f>
        <v>0</v>
      </c>
      <c r="AU45" s="419">
        <f>SUM('26:25'!AU45)</f>
        <v>0</v>
      </c>
      <c r="AV45" s="419">
        <f>SUM('26:25'!AV45)</f>
        <v>0</v>
      </c>
      <c r="AW45" s="419">
        <f>SUM('26:25'!AW45)</f>
        <v>0</v>
      </c>
      <c r="AX45" s="419">
        <f>SUM('26:25'!AX45)</f>
        <v>0</v>
      </c>
      <c r="AY45" s="419">
        <f>SUM('26:25'!AY45)</f>
        <v>0</v>
      </c>
      <c r="AZ45" s="419">
        <f>SUM('26:25'!AZ45)</f>
        <v>0</v>
      </c>
      <c r="BA45" s="419">
        <f>SUM('26:25'!BA45)</f>
        <v>0</v>
      </c>
      <c r="BB45" s="419">
        <f>SUM('26:25'!BB45)</f>
        <v>0</v>
      </c>
      <c r="BC45" s="419">
        <f>SUM('26:25'!BC45)</f>
        <v>0</v>
      </c>
      <c r="BD45" s="589"/>
      <c r="BE45" s="419">
        <f>SUM('26:25'!BE45)</f>
        <v>0</v>
      </c>
      <c r="BF45" s="419">
        <f>SUM('26:25'!BF45)</f>
        <v>0</v>
      </c>
      <c r="BG45" s="419">
        <f>SUM('26:25'!BG45)</f>
        <v>0</v>
      </c>
      <c r="BH45" s="419">
        <f>SUM('26:25'!BH45)</f>
        <v>0</v>
      </c>
      <c r="BI45" s="589"/>
      <c r="BJ45" s="419">
        <f>SUM('26:25'!BJ45)</f>
        <v>0</v>
      </c>
      <c r="BK45" s="419">
        <f>SUM('26:25'!BK45)</f>
        <v>0</v>
      </c>
      <c r="BL45" s="419">
        <f>SUM('26:25'!BL45)</f>
        <v>0</v>
      </c>
      <c r="BM45" s="419">
        <f>SUM('26:25'!BM45)</f>
        <v>0</v>
      </c>
      <c r="BN45" s="419">
        <f>SUM('26:25'!BN45)</f>
        <v>0</v>
      </c>
      <c r="BO45" s="419">
        <f>SUM('26:25'!BO45)</f>
        <v>0</v>
      </c>
      <c r="BP45" s="419">
        <f>SUM('26:25'!BP45)</f>
        <v>0</v>
      </c>
      <c r="BQ45" s="419">
        <f>SUM('26:25'!BQ45)</f>
        <v>0</v>
      </c>
      <c r="BR45" s="419">
        <f>SUM('26:25'!BR45)</f>
        <v>0</v>
      </c>
      <c r="BS45" s="419">
        <f>SUM('26:25'!BS45)</f>
        <v>0</v>
      </c>
      <c r="BT45" s="419">
        <f>SUM('26:25'!BT45)</f>
        <v>0</v>
      </c>
      <c r="BU45" s="419">
        <f>SUM('26:25'!BU45)</f>
        <v>0</v>
      </c>
      <c r="BV45" s="419">
        <f>SUM('26:25'!BV45)</f>
        <v>0</v>
      </c>
      <c r="BW45" s="419">
        <f>SUM('26:25'!BW45)</f>
        <v>0</v>
      </c>
      <c r="BX45" s="813">
        <f t="shared" si="1"/>
        <v>0</v>
      </c>
    </row>
    <row r="46" spans="1:84" ht="19.5" customHeight="1" x14ac:dyDescent="0.25">
      <c r="A46" s="418">
        <f>'BANG LUONG 1'!A50</f>
        <v>41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>
        <f>SUM('26:25'!E46)</f>
        <v>0</v>
      </c>
      <c r="F46" s="419">
        <f>SUM('26:25'!F46)</f>
        <v>0</v>
      </c>
      <c r="G46" s="419">
        <f>SUM('26:25'!G46)</f>
        <v>0</v>
      </c>
      <c r="H46" s="419">
        <f>SUM('26:25'!H46)</f>
        <v>0</v>
      </c>
      <c r="I46" s="419">
        <f>SUM('26:25'!I46)</f>
        <v>0</v>
      </c>
      <c r="J46" s="419">
        <f>SUM('26:25'!J46)</f>
        <v>0</v>
      </c>
      <c r="K46" s="419">
        <f>SUM('26:25'!K46)</f>
        <v>0</v>
      </c>
      <c r="L46" s="419">
        <f>SUM('26:25'!L46)</f>
        <v>0</v>
      </c>
      <c r="M46" s="419">
        <f>SUM('26:25'!M46)</f>
        <v>0</v>
      </c>
      <c r="N46" s="419">
        <f>SUM('26:25'!N46)</f>
        <v>0</v>
      </c>
      <c r="O46" s="419">
        <f>SUM('26:25'!O46)</f>
        <v>0</v>
      </c>
      <c r="P46" s="419">
        <f>SUM('26:25'!P46)</f>
        <v>0</v>
      </c>
      <c r="Q46" s="419">
        <f>SUM('26:25'!Q46)</f>
        <v>0</v>
      </c>
      <c r="R46" s="419">
        <f>SUM('26:25'!R46)</f>
        <v>0</v>
      </c>
      <c r="S46" s="419">
        <f>SUM('26:25'!S46)</f>
        <v>0</v>
      </c>
      <c r="T46" s="419">
        <f>SUM('26:25'!T46)</f>
        <v>0</v>
      </c>
      <c r="U46" s="589"/>
      <c r="V46" s="419">
        <f>SUM('26:25'!V46)</f>
        <v>0</v>
      </c>
      <c r="W46" s="419">
        <f>SUM('26:25'!W46)</f>
        <v>0</v>
      </c>
      <c r="X46" s="419">
        <f>SUM('26:25'!X46)</f>
        <v>0</v>
      </c>
      <c r="Y46" s="419">
        <f>SUM('26:25'!Y46)</f>
        <v>0</v>
      </c>
      <c r="Z46" s="419">
        <f>SUM('26:25'!Z46)</f>
        <v>0</v>
      </c>
      <c r="AA46" s="419">
        <f>SUM('26:25'!AA46)</f>
        <v>0</v>
      </c>
      <c r="AB46" s="419">
        <f>SUM('26:25'!AB46)</f>
        <v>0</v>
      </c>
      <c r="AC46" s="419">
        <f>SUM('26:25'!AC46)</f>
        <v>0</v>
      </c>
      <c r="AD46" s="419">
        <f>SUM('26:25'!AD46)</f>
        <v>0</v>
      </c>
      <c r="AE46" s="419">
        <f>SUM('26:25'!AE46)</f>
        <v>0</v>
      </c>
      <c r="AF46" s="419">
        <f>SUM('26:25'!AF46)</f>
        <v>0</v>
      </c>
      <c r="AG46" s="419">
        <f>SUM('26:25'!AG46)</f>
        <v>0</v>
      </c>
      <c r="AH46" s="419">
        <f>SUM('26:25'!AH46)</f>
        <v>0</v>
      </c>
      <c r="AI46" s="419">
        <f>SUM('26:25'!AI46)</f>
        <v>0</v>
      </c>
      <c r="AJ46" s="419">
        <f>SUM('26:25'!AJ46)</f>
        <v>0</v>
      </c>
      <c r="AK46" s="589"/>
      <c r="AL46" s="419">
        <f>SUM('26:25'!AL46)</f>
        <v>0</v>
      </c>
      <c r="AM46" s="419">
        <f>SUM('26:25'!AM46)</f>
        <v>0</v>
      </c>
      <c r="AN46" s="419">
        <f>SUM('26:25'!AN46)</f>
        <v>0</v>
      </c>
      <c r="AO46" s="419">
        <f>SUM('26:25'!AO46)</f>
        <v>0</v>
      </c>
      <c r="AP46" s="593"/>
      <c r="AQ46" s="419">
        <f>SUM('26:25'!AQ46)</f>
        <v>0</v>
      </c>
      <c r="AR46" s="419">
        <f>SUM('26:25'!AR46)</f>
        <v>0</v>
      </c>
      <c r="AS46" s="419">
        <f>SUM('26:25'!AS46)</f>
        <v>0</v>
      </c>
      <c r="AT46" s="419">
        <f>SUM('26:25'!AT46)</f>
        <v>0</v>
      </c>
      <c r="AU46" s="419">
        <f>SUM('26:25'!AU46)</f>
        <v>0</v>
      </c>
      <c r="AV46" s="419">
        <f>SUM('26:25'!AV46)</f>
        <v>0</v>
      </c>
      <c r="AW46" s="419">
        <f>SUM('26:25'!AW46)</f>
        <v>0</v>
      </c>
      <c r="AX46" s="419">
        <f>SUM('26:25'!AX46)</f>
        <v>0</v>
      </c>
      <c r="AY46" s="419">
        <f>SUM('26:25'!AY46)</f>
        <v>0</v>
      </c>
      <c r="AZ46" s="419">
        <f>SUM('26:25'!AZ46)</f>
        <v>0</v>
      </c>
      <c r="BA46" s="419">
        <f>SUM('26:25'!BA46)</f>
        <v>0</v>
      </c>
      <c r="BB46" s="419">
        <f>SUM('26:25'!BB46)</f>
        <v>0</v>
      </c>
      <c r="BC46" s="419">
        <f>SUM('26:25'!BC46)</f>
        <v>0</v>
      </c>
      <c r="BD46" s="589"/>
      <c r="BE46" s="419">
        <f>SUM('26:25'!BE46)</f>
        <v>0</v>
      </c>
      <c r="BF46" s="419">
        <f>SUM('26:25'!BF46)</f>
        <v>0</v>
      </c>
      <c r="BG46" s="419">
        <f>SUM('26:25'!BG46)</f>
        <v>0</v>
      </c>
      <c r="BH46" s="419">
        <f>SUM('26:25'!BH46)</f>
        <v>0</v>
      </c>
      <c r="BI46" s="589"/>
      <c r="BJ46" s="419">
        <f>SUM('26:25'!BJ46)</f>
        <v>12480</v>
      </c>
      <c r="BK46" s="419">
        <f>SUM('26:25'!BK46)</f>
        <v>0</v>
      </c>
      <c r="BL46" s="419">
        <f>SUM('26:25'!BL46)</f>
        <v>0</v>
      </c>
      <c r="BM46" s="419">
        <f>SUM('26:25'!BM46)</f>
        <v>0</v>
      </c>
      <c r="BN46" s="419">
        <f>SUM('26:25'!BN46)</f>
        <v>0</v>
      </c>
      <c r="BO46" s="419">
        <f>SUM('26:25'!BO46)</f>
        <v>0</v>
      </c>
      <c r="BP46" s="419">
        <f>SUM('26:25'!BP46)</f>
        <v>0</v>
      </c>
      <c r="BQ46" s="419">
        <f>SUM('26:25'!BQ46)</f>
        <v>0</v>
      </c>
      <c r="BR46" s="419">
        <f>SUM('26:25'!BR46)</f>
        <v>0</v>
      </c>
      <c r="BS46" s="419">
        <f>SUM('26:25'!BS46)</f>
        <v>0</v>
      </c>
      <c r="BT46" s="419">
        <f>SUM('26:25'!BT46)</f>
        <v>0</v>
      </c>
      <c r="BU46" s="419">
        <f>SUM('26:25'!BU46)</f>
        <v>0</v>
      </c>
      <c r="BV46" s="419">
        <f>SUM('26:25'!BV46)</f>
        <v>0</v>
      </c>
      <c r="BW46" s="419">
        <f>SUM('26:25'!BW46)</f>
        <v>0</v>
      </c>
      <c r="BX46" s="813">
        <f t="shared" si="1"/>
        <v>12480</v>
      </c>
    </row>
    <row r="47" spans="1:84" ht="19.5" customHeight="1" x14ac:dyDescent="0.25">
      <c r="A47" s="418">
        <f>'BANG LUONG 1'!A51</f>
        <v>42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>
        <f>SUM('26:25'!E47)</f>
        <v>0</v>
      </c>
      <c r="F47" s="419">
        <f>SUM('26:25'!F47)</f>
        <v>0</v>
      </c>
      <c r="G47" s="419">
        <f>SUM('26:25'!G47)</f>
        <v>0</v>
      </c>
      <c r="H47" s="419">
        <f>SUM('26:25'!H47)</f>
        <v>0</v>
      </c>
      <c r="I47" s="419">
        <f>SUM('26:25'!I47)</f>
        <v>0</v>
      </c>
      <c r="J47" s="419">
        <f>SUM('26:25'!J47)</f>
        <v>0</v>
      </c>
      <c r="K47" s="419">
        <f>SUM('26:25'!K47)</f>
        <v>0</v>
      </c>
      <c r="L47" s="419">
        <f>SUM('26:25'!L47)</f>
        <v>0</v>
      </c>
      <c r="M47" s="419">
        <f>SUM('26:25'!M47)</f>
        <v>0</v>
      </c>
      <c r="N47" s="419">
        <f>SUM('26:25'!N47)</f>
        <v>0</v>
      </c>
      <c r="O47" s="419">
        <f>SUM('26:25'!O47)</f>
        <v>0</v>
      </c>
      <c r="P47" s="419">
        <f>SUM('26:25'!P47)</f>
        <v>0</v>
      </c>
      <c r="Q47" s="419">
        <f>SUM('26:25'!Q47)</f>
        <v>0</v>
      </c>
      <c r="R47" s="419">
        <f>SUM('26:25'!R47)</f>
        <v>0</v>
      </c>
      <c r="S47" s="419">
        <f>SUM('26:25'!S47)</f>
        <v>0</v>
      </c>
      <c r="T47" s="419">
        <f>SUM('26:25'!T47)</f>
        <v>0</v>
      </c>
      <c r="U47" s="589"/>
      <c r="V47" s="419">
        <f>SUM('26:25'!V47)</f>
        <v>0</v>
      </c>
      <c r="W47" s="419">
        <f>SUM('26:25'!W47)</f>
        <v>0</v>
      </c>
      <c r="X47" s="419">
        <f>SUM('26:25'!X47)</f>
        <v>0</v>
      </c>
      <c r="Y47" s="419">
        <f>SUM('26:25'!Y47)</f>
        <v>0</v>
      </c>
      <c r="Z47" s="419">
        <f>SUM('26:25'!Z47)</f>
        <v>0</v>
      </c>
      <c r="AA47" s="419">
        <f>SUM('26:25'!AA47)</f>
        <v>0</v>
      </c>
      <c r="AB47" s="419">
        <f>SUM('26:25'!AB47)</f>
        <v>0</v>
      </c>
      <c r="AC47" s="419">
        <f>SUM('26:25'!AC47)</f>
        <v>0</v>
      </c>
      <c r="AD47" s="419">
        <f>SUM('26:25'!AD47)</f>
        <v>0</v>
      </c>
      <c r="AE47" s="419">
        <f>SUM('26:25'!AE47)</f>
        <v>0</v>
      </c>
      <c r="AF47" s="419">
        <f>SUM('26:25'!AF47)</f>
        <v>0</v>
      </c>
      <c r="AG47" s="419">
        <f>SUM('26:25'!AG47)</f>
        <v>0</v>
      </c>
      <c r="AH47" s="419">
        <f>SUM('26:25'!AH47)</f>
        <v>0</v>
      </c>
      <c r="AI47" s="419">
        <f>SUM('26:25'!AI47)</f>
        <v>0</v>
      </c>
      <c r="AJ47" s="419">
        <f>SUM('26:25'!AJ47)</f>
        <v>0</v>
      </c>
      <c r="AK47" s="589"/>
      <c r="AL47" s="419">
        <f>SUM('26:25'!AL47)</f>
        <v>0</v>
      </c>
      <c r="AM47" s="419">
        <f>SUM('26:25'!AM47)</f>
        <v>0</v>
      </c>
      <c r="AN47" s="419">
        <f>SUM('26:25'!AN47)</f>
        <v>0</v>
      </c>
      <c r="AO47" s="419">
        <f>SUM('26:25'!AO47)</f>
        <v>0</v>
      </c>
      <c r="AP47" s="593"/>
      <c r="AQ47" s="419">
        <f>SUM('26:25'!AQ47)</f>
        <v>0</v>
      </c>
      <c r="AR47" s="419">
        <f>SUM('26:25'!AR47)</f>
        <v>0</v>
      </c>
      <c r="AS47" s="419">
        <f>SUM('26:25'!AS47)</f>
        <v>0</v>
      </c>
      <c r="AT47" s="419">
        <f>SUM('26:25'!AT47)</f>
        <v>0</v>
      </c>
      <c r="AU47" s="419">
        <f>SUM('26:25'!AU47)</f>
        <v>0</v>
      </c>
      <c r="AV47" s="419">
        <f>SUM('26:25'!AV47)</f>
        <v>0</v>
      </c>
      <c r="AW47" s="419">
        <f>SUM('26:25'!AW47)</f>
        <v>0</v>
      </c>
      <c r="AX47" s="419">
        <f>SUM('26:25'!AX47)</f>
        <v>0</v>
      </c>
      <c r="AY47" s="419">
        <f>SUM('26:25'!AY47)</f>
        <v>0</v>
      </c>
      <c r="AZ47" s="419">
        <f>SUM('26:25'!AZ47)</f>
        <v>0</v>
      </c>
      <c r="BA47" s="419">
        <f>SUM('26:25'!BA47)</f>
        <v>0</v>
      </c>
      <c r="BB47" s="419">
        <f>SUM('26:25'!BB47)</f>
        <v>0</v>
      </c>
      <c r="BC47" s="419">
        <f>SUM('26:25'!BC47)</f>
        <v>0</v>
      </c>
      <c r="BD47" s="589"/>
      <c r="BE47" s="419">
        <f>SUM('26:25'!BE47)</f>
        <v>0</v>
      </c>
      <c r="BF47" s="419">
        <f>SUM('26:25'!BF47)</f>
        <v>0</v>
      </c>
      <c r="BG47" s="419">
        <f>SUM('26:25'!BG47)</f>
        <v>0</v>
      </c>
      <c r="BH47" s="419">
        <f>SUM('26:25'!BH47)</f>
        <v>0</v>
      </c>
      <c r="BI47" s="589"/>
      <c r="BJ47" s="419">
        <f>SUM('26:25'!BJ47)</f>
        <v>14160</v>
      </c>
      <c r="BK47" s="419">
        <f>SUM('26:25'!BK47)</f>
        <v>0</v>
      </c>
      <c r="BL47" s="419">
        <f>SUM('26:25'!BL47)</f>
        <v>0</v>
      </c>
      <c r="BM47" s="419">
        <f>SUM('26:25'!BM47)</f>
        <v>0</v>
      </c>
      <c r="BN47" s="419">
        <f>SUM('26:25'!BN47)</f>
        <v>0</v>
      </c>
      <c r="BO47" s="419">
        <f>SUM('26:25'!BO47)</f>
        <v>0</v>
      </c>
      <c r="BP47" s="419">
        <f>SUM('26:25'!BP47)</f>
        <v>0</v>
      </c>
      <c r="BQ47" s="419">
        <f>SUM('26:25'!BQ47)</f>
        <v>0</v>
      </c>
      <c r="BR47" s="419">
        <f>SUM('26:25'!BR47)</f>
        <v>0</v>
      </c>
      <c r="BS47" s="419">
        <f>SUM('26:25'!BS47)</f>
        <v>0</v>
      </c>
      <c r="BT47" s="419">
        <f>SUM('26:25'!BT47)</f>
        <v>0</v>
      </c>
      <c r="BU47" s="419">
        <f>SUM('26:25'!BU47)</f>
        <v>0</v>
      </c>
      <c r="BV47" s="419">
        <f>SUM('26:25'!BV47)</f>
        <v>0</v>
      </c>
      <c r="BW47" s="419">
        <f>SUM('26:25'!BW47)</f>
        <v>0</v>
      </c>
      <c r="BX47" s="813">
        <f t="shared" si="1"/>
        <v>14160</v>
      </c>
    </row>
    <row r="48" spans="1:84" ht="19.5" customHeight="1" x14ac:dyDescent="0.25">
      <c r="A48" s="418"/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>
        <f>SUM('26:25'!E48)</f>
        <v>0</v>
      </c>
      <c r="F48" s="419">
        <f>SUM('26:25'!F48)</f>
        <v>0</v>
      </c>
      <c r="G48" s="419">
        <f>SUM('26:25'!G48)</f>
        <v>0</v>
      </c>
      <c r="H48" s="419">
        <f>SUM('26:25'!H48)</f>
        <v>0</v>
      </c>
      <c r="I48" s="419">
        <f>SUM('26:25'!I48)</f>
        <v>0</v>
      </c>
      <c r="J48" s="419">
        <f>SUM('26:25'!J48)</f>
        <v>0</v>
      </c>
      <c r="K48" s="419">
        <f>SUM('26:25'!K48)</f>
        <v>0</v>
      </c>
      <c r="L48" s="419">
        <f>SUM('26:25'!L48)</f>
        <v>0</v>
      </c>
      <c r="M48" s="419">
        <f>SUM('26:25'!M48)</f>
        <v>0</v>
      </c>
      <c r="N48" s="419">
        <f>SUM('26:25'!N48)</f>
        <v>0</v>
      </c>
      <c r="O48" s="419">
        <f>SUM('26:25'!O48)</f>
        <v>0</v>
      </c>
      <c r="P48" s="419">
        <f>SUM('26:25'!P48)</f>
        <v>0</v>
      </c>
      <c r="Q48" s="419">
        <f>SUM('26:25'!Q48)</f>
        <v>0</v>
      </c>
      <c r="R48" s="419">
        <f>SUM('26:25'!R48)</f>
        <v>0</v>
      </c>
      <c r="S48" s="419">
        <f>SUM('26:25'!S48)</f>
        <v>0</v>
      </c>
      <c r="T48" s="419">
        <f>SUM('26:25'!T48)</f>
        <v>0</v>
      </c>
      <c r="U48" s="589"/>
      <c r="V48" s="419">
        <f>SUM('26:25'!V48)</f>
        <v>0</v>
      </c>
      <c r="W48" s="419">
        <f>SUM('26:25'!W48)</f>
        <v>0</v>
      </c>
      <c r="X48" s="419">
        <f>SUM('26:25'!X48)</f>
        <v>0</v>
      </c>
      <c r="Y48" s="419">
        <f>SUM('26:25'!Y48)</f>
        <v>0</v>
      </c>
      <c r="Z48" s="419">
        <f>SUM('26:25'!Z48)</f>
        <v>0</v>
      </c>
      <c r="AA48" s="419">
        <f>SUM('26:25'!AA48)</f>
        <v>0</v>
      </c>
      <c r="AB48" s="419">
        <f>SUM('26:25'!AB48)</f>
        <v>0</v>
      </c>
      <c r="AC48" s="419">
        <f>SUM('26:25'!AC48)</f>
        <v>0</v>
      </c>
      <c r="AD48" s="419">
        <f>SUM('26:25'!AD48)</f>
        <v>0</v>
      </c>
      <c r="AE48" s="419">
        <f>SUM('26:25'!AE48)</f>
        <v>0</v>
      </c>
      <c r="AF48" s="419">
        <f>SUM('26:25'!AF48)</f>
        <v>0</v>
      </c>
      <c r="AG48" s="419">
        <f>SUM('26:25'!AG48)</f>
        <v>0</v>
      </c>
      <c r="AH48" s="419">
        <f>SUM('26:25'!AH48)</f>
        <v>0</v>
      </c>
      <c r="AI48" s="419">
        <f>SUM('26:25'!AI48)</f>
        <v>0</v>
      </c>
      <c r="AJ48" s="419">
        <f>SUM('26:25'!AJ48)</f>
        <v>0</v>
      </c>
      <c r="AK48" s="589"/>
      <c r="AL48" s="419">
        <f>SUM('26:25'!AL48)</f>
        <v>0</v>
      </c>
      <c r="AM48" s="419">
        <f>SUM('26:25'!AM48)</f>
        <v>0</v>
      </c>
      <c r="AN48" s="419">
        <f>SUM('26:25'!AN48)</f>
        <v>0</v>
      </c>
      <c r="AO48" s="419">
        <f>SUM('26:25'!AO48)</f>
        <v>0</v>
      </c>
      <c r="AP48" s="593"/>
      <c r="AQ48" s="419">
        <f>SUM('26:25'!AQ48)</f>
        <v>0</v>
      </c>
      <c r="AR48" s="419">
        <f>SUM('26:25'!AR48)</f>
        <v>0</v>
      </c>
      <c r="AS48" s="419">
        <f>SUM('26:25'!AS48)</f>
        <v>0</v>
      </c>
      <c r="AT48" s="419">
        <f>SUM('26:25'!AT48)</f>
        <v>0</v>
      </c>
      <c r="AU48" s="419">
        <f>SUM('26:25'!AU48)</f>
        <v>0</v>
      </c>
      <c r="AV48" s="419">
        <f>SUM('26:25'!AV48)</f>
        <v>0</v>
      </c>
      <c r="AW48" s="419">
        <f>SUM('26:25'!AW48)</f>
        <v>0</v>
      </c>
      <c r="AX48" s="419">
        <f>SUM('26:25'!AX48)</f>
        <v>0</v>
      </c>
      <c r="AY48" s="419">
        <f>SUM('26:25'!AY48)</f>
        <v>0</v>
      </c>
      <c r="AZ48" s="419">
        <f>SUM('26:25'!AZ48)</f>
        <v>0</v>
      </c>
      <c r="BA48" s="419">
        <f>SUM('26:25'!BA48)</f>
        <v>0</v>
      </c>
      <c r="BB48" s="419">
        <f>SUM('26:25'!BB48)</f>
        <v>0</v>
      </c>
      <c r="BC48" s="419">
        <f>SUM('26:25'!BC48)</f>
        <v>0</v>
      </c>
      <c r="BD48" s="589"/>
      <c r="BE48" s="419">
        <f>SUM('26:25'!BE48)</f>
        <v>0</v>
      </c>
      <c r="BF48" s="419">
        <f>SUM('26:25'!BF48)</f>
        <v>0</v>
      </c>
      <c r="BG48" s="419">
        <f>SUM('26:25'!BG48)</f>
        <v>0</v>
      </c>
      <c r="BH48" s="419">
        <f>SUM('26:25'!BH48)</f>
        <v>0</v>
      </c>
      <c r="BI48" s="589"/>
      <c r="BJ48" s="419">
        <f>SUM('26:25'!BJ48)</f>
        <v>14400</v>
      </c>
      <c r="BK48" s="419">
        <f>SUM('26:25'!BK48)</f>
        <v>0</v>
      </c>
      <c r="BL48" s="419">
        <f>SUM('26:25'!BL48)</f>
        <v>0</v>
      </c>
      <c r="BM48" s="419">
        <f>SUM('26:25'!BM48)</f>
        <v>0</v>
      </c>
      <c r="BN48" s="419">
        <f>SUM('26:25'!BN48)</f>
        <v>0</v>
      </c>
      <c r="BO48" s="419">
        <f>SUM('26:25'!BO48)</f>
        <v>0</v>
      </c>
      <c r="BP48" s="419">
        <f>SUM('26:25'!BP48)</f>
        <v>0</v>
      </c>
      <c r="BQ48" s="419">
        <f>SUM('26:25'!BQ48)</f>
        <v>0</v>
      </c>
      <c r="BR48" s="419">
        <f>SUM('26:25'!BR48)</f>
        <v>0</v>
      </c>
      <c r="BS48" s="419">
        <f>SUM('26:25'!BS48)</f>
        <v>0</v>
      </c>
      <c r="BT48" s="419">
        <f>SUM('26:25'!BT48)</f>
        <v>0</v>
      </c>
      <c r="BU48" s="419">
        <f>SUM('26:25'!BU48)</f>
        <v>0</v>
      </c>
      <c r="BV48" s="419">
        <f>SUM('26:25'!BV48)</f>
        <v>0</v>
      </c>
      <c r="BW48" s="419">
        <f>SUM('26:25'!BW48)</f>
        <v>0</v>
      </c>
      <c r="BX48" s="813">
        <f t="shared" ref="BX48" si="3">SUM(E48:BW48)</f>
        <v>14400</v>
      </c>
    </row>
    <row r="49" spans="1:84" ht="19.5" customHeight="1" x14ac:dyDescent="0.25">
      <c r="A49" s="418"/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419">
        <f>SUM('26:25'!E49)</f>
        <v>0</v>
      </c>
      <c r="F49" s="419">
        <f>SUM('26:25'!F49)</f>
        <v>0</v>
      </c>
      <c r="G49" s="419">
        <f>SUM('26:25'!G49)</f>
        <v>0</v>
      </c>
      <c r="H49" s="419">
        <f>SUM('26:25'!H49)</f>
        <v>0</v>
      </c>
      <c r="I49" s="419">
        <f>SUM('26:25'!I49)</f>
        <v>0</v>
      </c>
      <c r="J49" s="419">
        <f>SUM('26:25'!J49)</f>
        <v>0</v>
      </c>
      <c r="K49" s="419">
        <f>SUM('26:25'!K49)</f>
        <v>0</v>
      </c>
      <c r="L49" s="419">
        <f>SUM('26:25'!L49)</f>
        <v>0</v>
      </c>
      <c r="M49" s="419">
        <f>SUM('26:25'!M49)</f>
        <v>0</v>
      </c>
      <c r="N49" s="419">
        <f>SUM('26:25'!N49)</f>
        <v>0</v>
      </c>
      <c r="O49" s="419">
        <f>SUM('26:25'!O49)</f>
        <v>0</v>
      </c>
      <c r="P49" s="419">
        <f>SUM('26:25'!P49)</f>
        <v>0</v>
      </c>
      <c r="Q49" s="419">
        <f>SUM('26:25'!Q49)</f>
        <v>0</v>
      </c>
      <c r="R49" s="419">
        <f>SUM('26:25'!R49)</f>
        <v>0</v>
      </c>
      <c r="S49" s="419">
        <f>SUM('26:25'!S49)</f>
        <v>0</v>
      </c>
      <c r="T49" s="419">
        <f>SUM('26:25'!T49)</f>
        <v>0</v>
      </c>
      <c r="U49" s="589"/>
      <c r="V49" s="419">
        <f>SUM('26:25'!V49)</f>
        <v>0</v>
      </c>
      <c r="W49" s="419">
        <f>SUM('26:25'!W49)</f>
        <v>0</v>
      </c>
      <c r="X49" s="419">
        <f>SUM('26:25'!X49)</f>
        <v>0</v>
      </c>
      <c r="Y49" s="419">
        <f>SUM('26:25'!Y49)</f>
        <v>0</v>
      </c>
      <c r="Z49" s="419">
        <f>SUM('26:25'!Z49)</f>
        <v>0</v>
      </c>
      <c r="AA49" s="419">
        <f>SUM('26:25'!AA49)</f>
        <v>0</v>
      </c>
      <c r="AB49" s="419">
        <f>SUM('26:25'!AB49)</f>
        <v>0</v>
      </c>
      <c r="AC49" s="419">
        <f>SUM('26:25'!AC49)</f>
        <v>0</v>
      </c>
      <c r="AD49" s="419">
        <f>SUM('26:25'!AD49)</f>
        <v>0</v>
      </c>
      <c r="AE49" s="419">
        <f>SUM('26:25'!AE49)</f>
        <v>0</v>
      </c>
      <c r="AF49" s="419">
        <f>SUM('26:25'!AF49)</f>
        <v>0</v>
      </c>
      <c r="AG49" s="419">
        <f>SUM('26:25'!AG49)</f>
        <v>0</v>
      </c>
      <c r="AH49" s="419">
        <f>SUM('26:25'!AH49)</f>
        <v>0</v>
      </c>
      <c r="AI49" s="419">
        <f>SUM('26:25'!AI49)</f>
        <v>0</v>
      </c>
      <c r="AJ49" s="419">
        <f>SUM('26:25'!AJ49)</f>
        <v>0</v>
      </c>
      <c r="AK49" s="589"/>
      <c r="AL49" s="419">
        <f>SUM('26:25'!AL49)</f>
        <v>215890</v>
      </c>
      <c r="AM49" s="419">
        <f>SUM('26:25'!AM49)</f>
        <v>49350</v>
      </c>
      <c r="AN49" s="419">
        <f>SUM('26:25'!AN49)</f>
        <v>0</v>
      </c>
      <c r="AO49" s="419">
        <f>SUM('26:25'!AO49)</f>
        <v>0</v>
      </c>
      <c r="AP49" s="593"/>
      <c r="AQ49" s="419">
        <f>SUM('26:25'!AQ49)</f>
        <v>0</v>
      </c>
      <c r="AR49" s="419">
        <f>SUM('26:25'!AR49)</f>
        <v>0</v>
      </c>
      <c r="AS49" s="419">
        <f>SUM('26:25'!AS49)</f>
        <v>0</v>
      </c>
      <c r="AT49" s="419">
        <f>SUM('26:25'!AT49)</f>
        <v>0</v>
      </c>
      <c r="AU49" s="419">
        <f>SUM('26:25'!AU49)</f>
        <v>0</v>
      </c>
      <c r="AV49" s="419">
        <f>SUM('26:25'!AV49)</f>
        <v>0</v>
      </c>
      <c r="AW49" s="419">
        <f>SUM('26:25'!AW49)</f>
        <v>0</v>
      </c>
      <c r="AX49" s="419">
        <f>SUM('26:25'!AX49)</f>
        <v>0</v>
      </c>
      <c r="AY49" s="419">
        <f>SUM('26:25'!AY49)</f>
        <v>0</v>
      </c>
      <c r="AZ49" s="419">
        <f>SUM('26:25'!AZ49)</f>
        <v>0</v>
      </c>
      <c r="BA49" s="419">
        <f>SUM('26:25'!BA49)</f>
        <v>0</v>
      </c>
      <c r="BB49" s="419">
        <f>SUM('26:25'!BB49)</f>
        <v>0</v>
      </c>
      <c r="BC49" s="419">
        <f>SUM('26:25'!BC49)</f>
        <v>0</v>
      </c>
      <c r="BD49" s="589"/>
      <c r="BE49" s="419">
        <f>SUM('26:25'!BE49)</f>
        <v>0</v>
      </c>
      <c r="BF49" s="419">
        <f>SUM('26:25'!BF49)</f>
        <v>0</v>
      </c>
      <c r="BG49" s="419">
        <f>SUM('26:25'!BG49)</f>
        <v>0</v>
      </c>
      <c r="BH49" s="419">
        <f>SUM('26:25'!BH49)</f>
        <v>0</v>
      </c>
      <c r="BI49" s="589"/>
      <c r="BJ49" s="419">
        <f>SUM('26:25'!BJ49)</f>
        <v>5040</v>
      </c>
      <c r="BK49" s="419">
        <f>SUM('26:25'!BK49)</f>
        <v>0</v>
      </c>
      <c r="BL49" s="419">
        <f>SUM('26:25'!BL49)</f>
        <v>0</v>
      </c>
      <c r="BM49" s="419">
        <f>SUM('26:25'!BM49)</f>
        <v>0</v>
      </c>
      <c r="BN49" s="419">
        <f>SUM('26:25'!BN49)</f>
        <v>0</v>
      </c>
      <c r="BO49" s="419">
        <f>SUM('26:25'!BO49)</f>
        <v>0</v>
      </c>
      <c r="BP49" s="419">
        <f>SUM('26:25'!BP49)</f>
        <v>0</v>
      </c>
      <c r="BQ49" s="419">
        <f>SUM('26:25'!BQ49)</f>
        <v>0</v>
      </c>
      <c r="BR49" s="419">
        <f>SUM('26:25'!BR49)</f>
        <v>0</v>
      </c>
      <c r="BS49" s="419">
        <f>SUM('26:25'!BS49)</f>
        <v>0</v>
      </c>
      <c r="BT49" s="419">
        <f>SUM('26:25'!BT49)</f>
        <v>0</v>
      </c>
      <c r="BU49" s="419">
        <f>SUM('26:25'!BU49)</f>
        <v>0</v>
      </c>
      <c r="BV49" s="419">
        <f>SUM('26:25'!BV49)</f>
        <v>0</v>
      </c>
      <c r="BW49" s="419">
        <f>SUM('26:25'!BW49)</f>
        <v>0</v>
      </c>
      <c r="BX49" s="813"/>
    </row>
    <row r="50" spans="1:84" s="402" customFormat="1" ht="14.25" x14ac:dyDescent="0.2">
      <c r="A50" s="418"/>
      <c r="B50" s="562"/>
      <c r="C50" s="562"/>
      <c r="D50" s="563"/>
      <c r="E50" s="563"/>
      <c r="F50" s="563"/>
      <c r="G50" s="564">
        <f>'đơn giá'!I23</f>
        <v>56.895766954938551</v>
      </c>
      <c r="H50" s="564">
        <f>'đơn giá'!I24</f>
        <v>123.2741617357002</v>
      </c>
      <c r="I50" s="564">
        <f>'đơn giá'!I25</f>
        <v>336.20225927918233</v>
      </c>
      <c r="J50" s="564">
        <f>'đơn giá'!I26</f>
        <v>336.20225927918233</v>
      </c>
      <c r="K50" s="564">
        <f>'đơn giá'!I27</f>
        <v>710.05917159763305</v>
      </c>
      <c r="L50" s="564">
        <f>'đơn giá'!I28</f>
        <v>18.965255651646185</v>
      </c>
      <c r="M50" s="564">
        <f>'đơn giá'!I29</f>
        <v>18.965255651646185</v>
      </c>
      <c r="N50" s="564">
        <f>'đơn giá'!I30</f>
        <v>37.93051130329237</v>
      </c>
      <c r="O50" s="564">
        <f>'đơn giá'!I31</f>
        <v>56.895766954938551</v>
      </c>
      <c r="P50" s="564">
        <f>'đơn giá'!I32</f>
        <v>493.09664694280082</v>
      </c>
      <c r="Q50" s="564">
        <f>'đơn giá'!I33</f>
        <v>591.71597633136093</v>
      </c>
      <c r="R50" s="564">
        <f>'đơn giá'!I34</f>
        <v>710.05917159763305</v>
      </c>
      <c r="S50" s="564">
        <f>'đơn giá'!I35</f>
        <v>710.05917159763305</v>
      </c>
      <c r="T50" s="564">
        <f>'đơn giá'!I36</f>
        <v>18.965255651646185</v>
      </c>
      <c r="U50" s="590"/>
      <c r="V50" s="97">
        <f>'đơn giá'!I5</f>
        <v>238.39796567069297</v>
      </c>
      <c r="W50" s="97">
        <f>'đơn giá'!I6</f>
        <v>291.3752913752914</v>
      </c>
      <c r="X50" s="97">
        <f>'đơn giá'!I7</f>
        <v>476.79593134138594</v>
      </c>
      <c r="Y50" s="97">
        <f>'đơn giá'!I8</f>
        <v>437.06293706293707</v>
      </c>
      <c r="Z50" s="97">
        <f>'đơn giá'!I9</f>
        <v>819.49300699300704</v>
      </c>
      <c r="AA50" s="97">
        <f>'đơn giá'!I10</f>
        <v>819.49300699300704</v>
      </c>
      <c r="AB50" s="97">
        <f>'đơn giá'!I11</f>
        <v>1456.8764568764568</v>
      </c>
      <c r="AC50" s="97">
        <f>'đơn giá'!I12</f>
        <v>228.03283672848892</v>
      </c>
      <c r="AD50" s="97">
        <f>'đơn giá'!I13</f>
        <v>209.79020979020981</v>
      </c>
      <c r="AE50" s="97">
        <f>'đơn giá'!I14</f>
        <v>262.2377622377623</v>
      </c>
      <c r="AF50" s="97">
        <f>'đơn giá'!I15</f>
        <v>228.03283672848892</v>
      </c>
      <c r="AG50" s="97">
        <f>'đơn giá'!I16</f>
        <v>936.56343656343665</v>
      </c>
      <c r="AH50" s="97">
        <f>'đơn giá'!I17</f>
        <v>1596.2298570994226</v>
      </c>
      <c r="AI50" s="97">
        <f>'đơn giá'!I18</f>
        <v>1835.664335664336</v>
      </c>
      <c r="AJ50" s="97">
        <f>'đơn giá'!I19</f>
        <v>2039.6270396270395</v>
      </c>
      <c r="AK50" s="590"/>
      <c r="AL50" s="398">
        <f>'đơn giá'!I52</f>
        <v>15.576923076923077</v>
      </c>
      <c r="AM50" s="398">
        <f>'đơn giá'!I53</f>
        <v>15.576923076923077</v>
      </c>
      <c r="AN50" s="399">
        <f>'đơn giá'!I54</f>
        <v>15.576923076923077</v>
      </c>
      <c r="AO50" s="399">
        <f>'đơn giá'!I55</f>
        <v>15.576923076923077</v>
      </c>
      <c r="AP50" s="594"/>
      <c r="AQ50" s="400">
        <f>'đơn giá'!I38</f>
        <v>34536.89167974882</v>
      </c>
      <c r="AR50" s="400">
        <f>'đơn giá'!I39</f>
        <v>35478.806907378334</v>
      </c>
      <c r="AS50" s="400">
        <f>'đơn giá'!I40</f>
        <v>34536.89167974882</v>
      </c>
      <c r="AT50" s="400">
        <f>'đơn giá'!I41</f>
        <v>34536.89167974882</v>
      </c>
      <c r="AU50" s="400">
        <f>'đơn giá'!I42</f>
        <v>31397.174254317109</v>
      </c>
      <c r="AV50" s="400">
        <f>'đơn giá'!I43</f>
        <v>31397.174254317109</v>
      </c>
      <c r="AW50" s="400">
        <f>'đơn giá'!I44</f>
        <v>36420.722135007854</v>
      </c>
      <c r="AX50" s="400">
        <f>'đơn giá'!I45</f>
        <v>37362.637362637361</v>
      </c>
      <c r="AY50" s="400">
        <f>'đơn giá'!I46</f>
        <v>36420.722135007854</v>
      </c>
      <c r="AZ50" s="400">
        <f>'đơn giá'!I47</f>
        <v>36420.722135007854</v>
      </c>
      <c r="BA50" s="400">
        <f>'đơn giá'!I48</f>
        <v>33281.00470957614</v>
      </c>
      <c r="BB50" s="400">
        <f>'đơn giá'!I49</f>
        <v>33281.00470957614</v>
      </c>
      <c r="BC50" s="400">
        <f>'đơn giá'!I50</f>
        <v>39246.467817896388</v>
      </c>
      <c r="BD50" s="590"/>
      <c r="BE50" s="400">
        <f>'đơn giá'!I57</f>
        <v>25000</v>
      </c>
      <c r="BF50" s="400">
        <f>'đơn giá'!I58</f>
        <v>25000</v>
      </c>
      <c r="BG50" s="400">
        <f>'đơn giá'!I59</f>
        <v>25000</v>
      </c>
      <c r="BH50" s="401"/>
      <c r="BI50" s="590"/>
      <c r="BJ50" s="560">
        <f>'đơn giá'!I61</f>
        <v>22596.153846153848</v>
      </c>
      <c r="BK50" s="560">
        <f>'đơn giá'!I62</f>
        <v>21634.615384615383</v>
      </c>
      <c r="BL50" s="560">
        <f>'đơn giá'!I63</f>
        <v>22596.153846153848</v>
      </c>
      <c r="BM50" s="560">
        <f>'đơn giá'!I64</f>
        <v>21634.615384615383</v>
      </c>
      <c r="BN50" s="560">
        <f>'đơn giá'!I65</f>
        <v>21634.615384615383</v>
      </c>
      <c r="BO50" s="560">
        <f>'đơn giá'!I66</f>
        <v>22596.153846153848</v>
      </c>
      <c r="BP50" s="560">
        <f>'đơn giá'!I67</f>
        <v>21634.615384615383</v>
      </c>
      <c r="BQ50" s="560">
        <f>'đơn giá'!I68</f>
        <v>22596.153846153848</v>
      </c>
      <c r="BR50" s="560">
        <f>'đơn giá'!I69</f>
        <v>22596.153846153848</v>
      </c>
      <c r="BS50" s="560">
        <f>'đơn giá'!I70</f>
        <v>21634.615384615383</v>
      </c>
      <c r="BT50" s="560">
        <f>'đơn giá'!I71</f>
        <v>24038.461538461539</v>
      </c>
      <c r="BU50" s="560">
        <f>'đơn giá'!I72</f>
        <v>22596.153846153848</v>
      </c>
      <c r="BV50" s="560">
        <f>'đơn giá'!I73</f>
        <v>27403.846153846152</v>
      </c>
      <c r="BW50" s="560">
        <f>'đơn giá'!I74</f>
        <v>27403.846153846152</v>
      </c>
      <c r="BX50" s="596"/>
      <c r="CD50" s="403"/>
      <c r="CE50" s="404"/>
      <c r="CF50" s="404"/>
    </row>
    <row r="51" spans="1:84" s="83" customFormat="1" ht="12" x14ac:dyDescent="0.2">
      <c r="A51" s="418"/>
      <c r="B51" s="565"/>
      <c r="C51" s="565"/>
      <c r="D51" s="566"/>
      <c r="E51" s="567"/>
      <c r="F51" s="568"/>
      <c r="G51" s="568"/>
      <c r="H51" s="568"/>
      <c r="I51" s="568"/>
      <c r="J51" s="568"/>
      <c r="K51" s="568"/>
      <c r="L51" s="568"/>
      <c r="M51" s="568"/>
      <c r="N51" s="568"/>
      <c r="O51" s="568"/>
      <c r="P51" s="568"/>
      <c r="Q51" s="568"/>
      <c r="R51" s="568"/>
      <c r="S51" s="569"/>
      <c r="T51" s="570"/>
      <c r="U51" s="589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589"/>
      <c r="AL51" s="89"/>
      <c r="AM51" s="89"/>
      <c r="AN51" s="396"/>
      <c r="AO51" s="396"/>
      <c r="AP51" s="593"/>
      <c r="AQ51" s="353"/>
      <c r="AR51" s="353"/>
      <c r="AS51" s="353"/>
      <c r="AT51" s="353"/>
      <c r="AU51" s="353"/>
      <c r="AV51" s="353"/>
      <c r="AW51" s="347"/>
      <c r="AX51" s="347"/>
      <c r="AY51" s="347"/>
      <c r="AZ51" s="347"/>
      <c r="BA51" s="347"/>
      <c r="BB51" s="347"/>
      <c r="BC51" s="356"/>
      <c r="BD51" s="589"/>
      <c r="BE51" s="90"/>
      <c r="BF51" s="90"/>
      <c r="BG51" s="90"/>
      <c r="BH51" s="91"/>
      <c r="BI51" s="589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595"/>
      <c r="BY51" s="98"/>
    </row>
    <row r="52" spans="1:84" ht="15" customHeight="1" x14ac:dyDescent="0.25">
      <c r="A52" s="418"/>
      <c r="B52" s="92"/>
      <c r="C52" s="92" t="s">
        <v>293</v>
      </c>
      <c r="D52" s="93"/>
      <c r="E52" s="1065" t="s">
        <v>302</v>
      </c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7"/>
      <c r="U52" s="589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589"/>
      <c r="AL52" s="95"/>
      <c r="AM52" s="94"/>
      <c r="AN52" s="397"/>
      <c r="AO52" s="397"/>
      <c r="AP52" s="593"/>
      <c r="AQ52" s="350"/>
      <c r="AR52" s="351"/>
      <c r="AS52" s="352"/>
      <c r="AT52" s="351"/>
      <c r="AU52" s="352"/>
      <c r="AV52" s="352"/>
      <c r="AW52" s="344"/>
      <c r="AX52" s="345"/>
      <c r="AY52" s="346"/>
      <c r="AZ52" s="345"/>
      <c r="BA52" s="346"/>
      <c r="BB52" s="346"/>
      <c r="BC52" s="355"/>
      <c r="BD52" s="589"/>
      <c r="BE52" s="94"/>
      <c r="BF52" s="94"/>
      <c r="BG52" s="94"/>
      <c r="BH52" s="94"/>
      <c r="BI52" s="589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  <c r="BW52" s="94"/>
      <c r="BX52" s="595"/>
      <c r="BY52" s="99"/>
      <c r="CD52" s="83"/>
      <c r="CE52" s="83"/>
      <c r="CF52" s="83"/>
    </row>
    <row r="53" spans="1:84" ht="22.5" x14ac:dyDescent="0.25">
      <c r="A53" s="418">
        <f t="shared" ref="A53:D60" si="4">A6</f>
        <v>1</v>
      </c>
      <c r="B53" s="96" t="str">
        <f t="shared" si="4"/>
        <v>NV01</v>
      </c>
      <c r="C53" s="96" t="str">
        <f t="shared" si="4"/>
        <v>Nguyễn Trọng Minh</v>
      </c>
      <c r="D53" s="96" t="str">
        <f t="shared" si="4"/>
        <v>Đội trưởng XLB</v>
      </c>
      <c r="E53" s="84">
        <f t="shared" ref="E53:T53" si="5">E6*E$50</f>
        <v>0</v>
      </c>
      <c r="F53" s="84">
        <f t="shared" si="5"/>
        <v>0</v>
      </c>
      <c r="G53" s="84">
        <f t="shared" si="5"/>
        <v>0</v>
      </c>
      <c r="H53" s="84">
        <f t="shared" si="5"/>
        <v>0</v>
      </c>
      <c r="I53" s="84">
        <f t="shared" si="5"/>
        <v>0</v>
      </c>
      <c r="J53" s="84">
        <f t="shared" si="5"/>
        <v>0</v>
      </c>
      <c r="K53" s="84">
        <f t="shared" si="5"/>
        <v>0</v>
      </c>
      <c r="L53" s="84">
        <f t="shared" si="5"/>
        <v>0</v>
      </c>
      <c r="M53" s="84">
        <f t="shared" si="5"/>
        <v>0</v>
      </c>
      <c r="N53" s="84">
        <f t="shared" si="5"/>
        <v>0</v>
      </c>
      <c r="O53" s="84">
        <f t="shared" si="5"/>
        <v>0</v>
      </c>
      <c r="P53" s="84">
        <f t="shared" si="5"/>
        <v>0</v>
      </c>
      <c r="Q53" s="84">
        <f t="shared" si="5"/>
        <v>0</v>
      </c>
      <c r="R53" s="84">
        <f t="shared" si="5"/>
        <v>0</v>
      </c>
      <c r="S53" s="84">
        <f t="shared" si="5"/>
        <v>0</v>
      </c>
      <c r="T53" s="84">
        <f t="shared" si="5"/>
        <v>0</v>
      </c>
      <c r="U53" s="589"/>
      <c r="V53" s="84">
        <f t="shared" ref="V53:AJ53" si="6">V6*V$50</f>
        <v>0</v>
      </c>
      <c r="W53" s="84">
        <f t="shared" si="6"/>
        <v>0</v>
      </c>
      <c r="X53" s="84">
        <f t="shared" si="6"/>
        <v>0</v>
      </c>
      <c r="Y53" s="84">
        <f t="shared" si="6"/>
        <v>0</v>
      </c>
      <c r="Z53" s="84">
        <f t="shared" si="6"/>
        <v>0</v>
      </c>
      <c r="AA53" s="84">
        <f t="shared" si="6"/>
        <v>0</v>
      </c>
      <c r="AB53" s="84">
        <f t="shared" si="6"/>
        <v>0</v>
      </c>
      <c r="AC53" s="84">
        <f t="shared" si="6"/>
        <v>0</v>
      </c>
      <c r="AD53" s="84">
        <f t="shared" si="6"/>
        <v>0</v>
      </c>
      <c r="AE53" s="84">
        <f t="shared" si="6"/>
        <v>0</v>
      </c>
      <c r="AF53" s="84">
        <f t="shared" si="6"/>
        <v>0</v>
      </c>
      <c r="AG53" s="84">
        <f t="shared" si="6"/>
        <v>0</v>
      </c>
      <c r="AH53" s="84">
        <f t="shared" si="6"/>
        <v>0</v>
      </c>
      <c r="AI53" s="84">
        <f t="shared" si="6"/>
        <v>0</v>
      </c>
      <c r="AJ53" s="84">
        <f t="shared" si="6"/>
        <v>0</v>
      </c>
      <c r="AK53" s="589"/>
      <c r="AL53" s="84">
        <f t="shared" ref="AL53:AO53" si="7">AL6*AL$50</f>
        <v>0</v>
      </c>
      <c r="AM53" s="84">
        <f t="shared" si="7"/>
        <v>0</v>
      </c>
      <c r="AN53" s="84">
        <f t="shared" si="7"/>
        <v>0</v>
      </c>
      <c r="AO53" s="84">
        <f t="shared" si="7"/>
        <v>0</v>
      </c>
      <c r="AP53" s="593"/>
      <c r="AQ53" s="332">
        <f>AQ6*AQ$50</f>
        <v>0</v>
      </c>
      <c r="AR53" s="332">
        <f t="shared" ref="AR53:BC53" si="8">AR6*AR$50</f>
        <v>0</v>
      </c>
      <c r="AS53" s="332">
        <f t="shared" si="8"/>
        <v>0</v>
      </c>
      <c r="AT53" s="332">
        <f t="shared" si="8"/>
        <v>0</v>
      </c>
      <c r="AU53" s="332">
        <f t="shared" si="8"/>
        <v>0</v>
      </c>
      <c r="AV53" s="332">
        <f t="shared" si="8"/>
        <v>0</v>
      </c>
      <c r="AW53" s="306">
        <f t="shared" si="8"/>
        <v>0</v>
      </c>
      <c r="AX53" s="306">
        <f t="shared" si="8"/>
        <v>0</v>
      </c>
      <c r="AY53" s="306">
        <f t="shared" si="8"/>
        <v>0</v>
      </c>
      <c r="AZ53" s="306">
        <f t="shared" si="8"/>
        <v>0</v>
      </c>
      <c r="BA53" s="306">
        <f t="shared" si="8"/>
        <v>0</v>
      </c>
      <c r="BB53" s="306">
        <f t="shared" si="8"/>
        <v>0</v>
      </c>
      <c r="BC53" s="306">
        <f t="shared" si="8"/>
        <v>0</v>
      </c>
      <c r="BD53" s="589"/>
      <c r="BE53" s="84">
        <f t="shared" ref="BE53:BH53" si="9">BE6*BE$50</f>
        <v>0</v>
      </c>
      <c r="BF53" s="84">
        <f t="shared" si="9"/>
        <v>0</v>
      </c>
      <c r="BG53" s="84">
        <f t="shared" si="9"/>
        <v>0</v>
      </c>
      <c r="BH53" s="84">
        <f t="shared" si="9"/>
        <v>0</v>
      </c>
      <c r="BI53" s="589"/>
      <c r="BJ53" s="84">
        <f t="shared" ref="BJ53:BW53" si="10">BJ6*BJ$50/60</f>
        <v>0</v>
      </c>
      <c r="BK53" s="84">
        <f t="shared" si="10"/>
        <v>0</v>
      </c>
      <c r="BL53" s="84">
        <f t="shared" si="10"/>
        <v>0</v>
      </c>
      <c r="BM53" s="84">
        <f t="shared" si="10"/>
        <v>0</v>
      </c>
      <c r="BN53" s="84">
        <f t="shared" si="10"/>
        <v>0</v>
      </c>
      <c r="BO53" s="84">
        <f t="shared" si="10"/>
        <v>0</v>
      </c>
      <c r="BP53" s="84">
        <f t="shared" si="10"/>
        <v>0</v>
      </c>
      <c r="BQ53" s="84">
        <f t="shared" si="10"/>
        <v>0</v>
      </c>
      <c r="BR53" s="84">
        <f t="shared" si="10"/>
        <v>0</v>
      </c>
      <c r="BS53" s="84">
        <f t="shared" si="10"/>
        <v>0</v>
      </c>
      <c r="BT53" s="84">
        <f t="shared" si="10"/>
        <v>0</v>
      </c>
      <c r="BU53" s="84">
        <f t="shared" si="10"/>
        <v>0</v>
      </c>
      <c r="BV53" s="84">
        <f t="shared" si="10"/>
        <v>0</v>
      </c>
      <c r="BW53" s="84">
        <f t="shared" si="10"/>
        <v>0</v>
      </c>
      <c r="BX53" s="595"/>
      <c r="BY53" s="100">
        <f>SUM(E53:BX53)</f>
        <v>0</v>
      </c>
      <c r="CC53" s="108"/>
      <c r="CD53" s="107"/>
      <c r="CE53" s="107"/>
      <c r="CF53" s="107"/>
    </row>
    <row r="54" spans="1:84" x14ac:dyDescent="0.25">
      <c r="A54" s="418">
        <f t="shared" si="4"/>
        <v>2</v>
      </c>
      <c r="B54" s="96" t="str">
        <f t="shared" si="4"/>
        <v>NV02</v>
      </c>
      <c r="C54" s="96" t="str">
        <f t="shared" si="4"/>
        <v xml:space="preserve">Nguyễn Minh Tuấn </v>
      </c>
      <c r="D54" s="96" t="str">
        <f t="shared" si="4"/>
        <v xml:space="preserve">Công nhân </v>
      </c>
      <c r="E54" s="84">
        <f t="shared" ref="E54:T54" si="11">E7*E$50</f>
        <v>0</v>
      </c>
      <c r="F54" s="84">
        <f t="shared" si="11"/>
        <v>0</v>
      </c>
      <c r="G54" s="84">
        <f t="shared" si="11"/>
        <v>0</v>
      </c>
      <c r="H54" s="84">
        <f t="shared" si="11"/>
        <v>0</v>
      </c>
      <c r="I54" s="84">
        <f t="shared" si="11"/>
        <v>0</v>
      </c>
      <c r="J54" s="84">
        <f t="shared" si="11"/>
        <v>0</v>
      </c>
      <c r="K54" s="84">
        <f t="shared" si="11"/>
        <v>0</v>
      </c>
      <c r="L54" s="84">
        <f t="shared" si="11"/>
        <v>0</v>
      </c>
      <c r="M54" s="84">
        <f t="shared" si="11"/>
        <v>0</v>
      </c>
      <c r="N54" s="84">
        <f t="shared" si="11"/>
        <v>0</v>
      </c>
      <c r="O54" s="84">
        <f t="shared" si="11"/>
        <v>0</v>
      </c>
      <c r="P54" s="84">
        <f t="shared" si="11"/>
        <v>0</v>
      </c>
      <c r="Q54" s="84">
        <f t="shared" si="11"/>
        <v>0</v>
      </c>
      <c r="R54" s="84">
        <f t="shared" si="11"/>
        <v>0</v>
      </c>
      <c r="S54" s="84">
        <f t="shared" si="11"/>
        <v>0</v>
      </c>
      <c r="T54" s="84">
        <f t="shared" si="11"/>
        <v>0</v>
      </c>
      <c r="U54" s="589"/>
      <c r="V54" s="84">
        <f t="shared" ref="V54:AJ54" si="12">V7*V$50</f>
        <v>0</v>
      </c>
      <c r="W54" s="84">
        <f t="shared" si="12"/>
        <v>0</v>
      </c>
      <c r="X54" s="84">
        <f t="shared" si="12"/>
        <v>0</v>
      </c>
      <c r="Y54" s="84">
        <f t="shared" si="12"/>
        <v>0</v>
      </c>
      <c r="Z54" s="84">
        <f t="shared" si="12"/>
        <v>0</v>
      </c>
      <c r="AA54" s="84">
        <f t="shared" si="12"/>
        <v>0</v>
      </c>
      <c r="AB54" s="84">
        <f t="shared" si="12"/>
        <v>0</v>
      </c>
      <c r="AC54" s="84">
        <f t="shared" si="12"/>
        <v>0</v>
      </c>
      <c r="AD54" s="84">
        <f t="shared" si="12"/>
        <v>0</v>
      </c>
      <c r="AE54" s="84">
        <f t="shared" si="12"/>
        <v>0</v>
      </c>
      <c r="AF54" s="84">
        <f t="shared" si="12"/>
        <v>0</v>
      </c>
      <c r="AG54" s="84">
        <f t="shared" si="12"/>
        <v>0</v>
      </c>
      <c r="AH54" s="84">
        <f t="shared" si="12"/>
        <v>0</v>
      </c>
      <c r="AI54" s="84">
        <f t="shared" si="12"/>
        <v>0</v>
      </c>
      <c r="AJ54" s="84">
        <f t="shared" si="12"/>
        <v>0</v>
      </c>
      <c r="AK54" s="589"/>
      <c r="AL54" s="84">
        <f t="shared" ref="AL54:AO54" si="13">AL7*AL$50</f>
        <v>7983951.923076923</v>
      </c>
      <c r="AM54" s="84">
        <f t="shared" si="13"/>
        <v>2009665.3846153847</v>
      </c>
      <c r="AN54" s="84">
        <f t="shared" si="13"/>
        <v>0</v>
      </c>
      <c r="AO54" s="84">
        <f t="shared" si="13"/>
        <v>2058646.1538461538</v>
      </c>
      <c r="AP54" s="593"/>
      <c r="AQ54" s="332">
        <f t="shared" ref="AQ54:BC54" si="14">AQ7*AQ$50</f>
        <v>0</v>
      </c>
      <c r="AR54" s="332">
        <f t="shared" si="14"/>
        <v>0</v>
      </c>
      <c r="AS54" s="332">
        <f t="shared" si="14"/>
        <v>0</v>
      </c>
      <c r="AT54" s="332">
        <f t="shared" si="14"/>
        <v>0</v>
      </c>
      <c r="AU54" s="332">
        <f t="shared" si="14"/>
        <v>0</v>
      </c>
      <c r="AV54" s="332">
        <f t="shared" si="14"/>
        <v>0</v>
      </c>
      <c r="AW54" s="306">
        <f t="shared" si="14"/>
        <v>0</v>
      </c>
      <c r="AX54" s="306">
        <f t="shared" si="14"/>
        <v>0</v>
      </c>
      <c r="AY54" s="306">
        <f t="shared" si="14"/>
        <v>0</v>
      </c>
      <c r="AZ54" s="306">
        <f t="shared" si="14"/>
        <v>0</v>
      </c>
      <c r="BA54" s="306">
        <f t="shared" si="14"/>
        <v>0</v>
      </c>
      <c r="BB54" s="306">
        <f t="shared" si="14"/>
        <v>0</v>
      </c>
      <c r="BC54" s="306">
        <f t="shared" si="14"/>
        <v>0</v>
      </c>
      <c r="BD54" s="589"/>
      <c r="BE54" s="84">
        <f t="shared" ref="BE54:BH54" si="15">BE7*BE$50</f>
        <v>0</v>
      </c>
      <c r="BF54" s="84">
        <f t="shared" si="15"/>
        <v>0</v>
      </c>
      <c r="BG54" s="84">
        <f t="shared" si="15"/>
        <v>0</v>
      </c>
      <c r="BH54" s="84">
        <f t="shared" si="15"/>
        <v>0</v>
      </c>
      <c r="BI54" s="589"/>
      <c r="BJ54" s="84">
        <f t="shared" ref="BJ54:BW54" si="16">BJ7*BJ$50/60</f>
        <v>0</v>
      </c>
      <c r="BK54" s="84">
        <f t="shared" si="16"/>
        <v>173076.92307692306</v>
      </c>
      <c r="BL54" s="84">
        <f t="shared" si="16"/>
        <v>0</v>
      </c>
      <c r="BM54" s="84">
        <f t="shared" si="16"/>
        <v>0</v>
      </c>
      <c r="BN54" s="84">
        <f t="shared" si="16"/>
        <v>0</v>
      </c>
      <c r="BO54" s="84">
        <f t="shared" si="16"/>
        <v>0</v>
      </c>
      <c r="BP54" s="84">
        <f t="shared" si="16"/>
        <v>0</v>
      </c>
      <c r="BQ54" s="84">
        <f t="shared" si="16"/>
        <v>0</v>
      </c>
      <c r="BR54" s="84">
        <f t="shared" si="16"/>
        <v>28245.192307692309</v>
      </c>
      <c r="BS54" s="84">
        <f t="shared" si="16"/>
        <v>0</v>
      </c>
      <c r="BT54" s="84">
        <f t="shared" si="16"/>
        <v>68108.974358974359</v>
      </c>
      <c r="BU54" s="84">
        <f t="shared" si="16"/>
        <v>0</v>
      </c>
      <c r="BV54" s="84">
        <f t="shared" si="16"/>
        <v>0</v>
      </c>
      <c r="BW54" s="84">
        <f t="shared" si="16"/>
        <v>0</v>
      </c>
      <c r="BX54" s="595"/>
      <c r="BY54" s="100">
        <f t="shared" ref="BY54:BY96" si="17">SUM(E54:BX54)</f>
        <v>12321694.551282052</v>
      </c>
      <c r="CC54" s="108"/>
    </row>
    <row r="55" spans="1:84" s="201" customFormat="1" x14ac:dyDescent="0.25">
      <c r="A55" s="418">
        <f t="shared" si="4"/>
        <v>3</v>
      </c>
      <c r="B55" s="96" t="str">
        <f t="shared" si="4"/>
        <v>NV05</v>
      </c>
      <c r="C55" s="96" t="str">
        <f t="shared" si="4"/>
        <v>Nguyễn Thanh Vạn</v>
      </c>
      <c r="D55" s="96" t="str">
        <f t="shared" si="4"/>
        <v xml:space="preserve">Công nhân </v>
      </c>
      <c r="E55" s="84">
        <f t="shared" ref="E55:T55" si="18">E8*E$50</f>
        <v>0</v>
      </c>
      <c r="F55" s="84">
        <f t="shared" si="18"/>
        <v>0</v>
      </c>
      <c r="G55" s="84">
        <f t="shared" si="18"/>
        <v>0</v>
      </c>
      <c r="H55" s="84">
        <f t="shared" si="18"/>
        <v>0</v>
      </c>
      <c r="I55" s="84">
        <f t="shared" si="18"/>
        <v>0</v>
      </c>
      <c r="J55" s="84">
        <f t="shared" si="18"/>
        <v>0</v>
      </c>
      <c r="K55" s="84">
        <f t="shared" si="18"/>
        <v>0</v>
      </c>
      <c r="L55" s="84">
        <f t="shared" si="18"/>
        <v>0</v>
      </c>
      <c r="M55" s="84">
        <f t="shared" si="18"/>
        <v>0</v>
      </c>
      <c r="N55" s="84">
        <f t="shared" si="18"/>
        <v>0</v>
      </c>
      <c r="O55" s="84">
        <f t="shared" si="18"/>
        <v>0</v>
      </c>
      <c r="P55" s="84">
        <f t="shared" si="18"/>
        <v>0</v>
      </c>
      <c r="Q55" s="84">
        <f t="shared" si="18"/>
        <v>0</v>
      </c>
      <c r="R55" s="84">
        <f t="shared" si="18"/>
        <v>0</v>
      </c>
      <c r="S55" s="84">
        <f t="shared" si="18"/>
        <v>0</v>
      </c>
      <c r="T55" s="84">
        <f t="shared" si="18"/>
        <v>0</v>
      </c>
      <c r="U55" s="589"/>
      <c r="V55" s="84">
        <f t="shared" ref="V55:AJ55" si="19">V8*V$50</f>
        <v>0</v>
      </c>
      <c r="W55" s="84">
        <f t="shared" si="19"/>
        <v>0</v>
      </c>
      <c r="X55" s="84">
        <f t="shared" si="19"/>
        <v>0</v>
      </c>
      <c r="Y55" s="84">
        <f t="shared" si="19"/>
        <v>0</v>
      </c>
      <c r="Z55" s="84">
        <f t="shared" si="19"/>
        <v>0</v>
      </c>
      <c r="AA55" s="84">
        <f t="shared" si="19"/>
        <v>0</v>
      </c>
      <c r="AB55" s="84">
        <f t="shared" si="19"/>
        <v>0</v>
      </c>
      <c r="AC55" s="84">
        <f t="shared" si="19"/>
        <v>0</v>
      </c>
      <c r="AD55" s="84">
        <f t="shared" si="19"/>
        <v>0</v>
      </c>
      <c r="AE55" s="84">
        <f t="shared" si="19"/>
        <v>0</v>
      </c>
      <c r="AF55" s="84">
        <f t="shared" si="19"/>
        <v>0</v>
      </c>
      <c r="AG55" s="84">
        <f t="shared" si="19"/>
        <v>0</v>
      </c>
      <c r="AH55" s="84">
        <f t="shared" si="19"/>
        <v>0</v>
      </c>
      <c r="AI55" s="84">
        <f t="shared" si="19"/>
        <v>0</v>
      </c>
      <c r="AJ55" s="84">
        <f t="shared" si="19"/>
        <v>0</v>
      </c>
      <c r="AK55" s="589"/>
      <c r="AL55" s="84">
        <f t="shared" ref="AL55:AO55" si="20">AL8*AL$50</f>
        <v>0</v>
      </c>
      <c r="AM55" s="84">
        <f t="shared" si="20"/>
        <v>0</v>
      </c>
      <c r="AN55" s="84">
        <f t="shared" si="20"/>
        <v>0</v>
      </c>
      <c r="AO55" s="84">
        <f t="shared" si="20"/>
        <v>0</v>
      </c>
      <c r="AP55" s="593"/>
      <c r="AQ55" s="332">
        <f t="shared" ref="AQ55:BC55" si="21">AQ8*AQ$50</f>
        <v>0</v>
      </c>
      <c r="AR55" s="332">
        <f t="shared" si="21"/>
        <v>0</v>
      </c>
      <c r="AS55" s="332">
        <f t="shared" si="21"/>
        <v>0</v>
      </c>
      <c r="AT55" s="332">
        <f t="shared" si="21"/>
        <v>0</v>
      </c>
      <c r="AU55" s="332">
        <f t="shared" si="21"/>
        <v>0</v>
      </c>
      <c r="AV55" s="332">
        <f t="shared" si="21"/>
        <v>0</v>
      </c>
      <c r="AW55" s="306">
        <f t="shared" si="21"/>
        <v>0</v>
      </c>
      <c r="AX55" s="306">
        <f t="shared" si="21"/>
        <v>0</v>
      </c>
      <c r="AY55" s="306">
        <f t="shared" si="21"/>
        <v>0</v>
      </c>
      <c r="AZ55" s="306">
        <f t="shared" si="21"/>
        <v>0</v>
      </c>
      <c r="BA55" s="306">
        <f t="shared" si="21"/>
        <v>0</v>
      </c>
      <c r="BB55" s="306">
        <f t="shared" si="21"/>
        <v>0</v>
      </c>
      <c r="BC55" s="306">
        <f t="shared" si="21"/>
        <v>0</v>
      </c>
      <c r="BD55" s="589"/>
      <c r="BE55" s="84">
        <f t="shared" ref="BE55:BH55" si="22">BE8*BE$50</f>
        <v>0</v>
      </c>
      <c r="BF55" s="84">
        <f t="shared" si="22"/>
        <v>0</v>
      </c>
      <c r="BG55" s="84">
        <f t="shared" si="22"/>
        <v>0</v>
      </c>
      <c r="BH55" s="84">
        <f t="shared" si="22"/>
        <v>0</v>
      </c>
      <c r="BI55" s="589"/>
      <c r="BJ55" s="84">
        <f t="shared" ref="BJ55:BW55" si="23">BJ8*BJ$50/60</f>
        <v>0</v>
      </c>
      <c r="BK55" s="84">
        <f t="shared" si="23"/>
        <v>0</v>
      </c>
      <c r="BL55" s="84">
        <f t="shared" si="23"/>
        <v>0</v>
      </c>
      <c r="BM55" s="84">
        <f t="shared" si="23"/>
        <v>0</v>
      </c>
      <c r="BN55" s="84">
        <f t="shared" si="23"/>
        <v>0</v>
      </c>
      <c r="BO55" s="84">
        <f t="shared" si="23"/>
        <v>0</v>
      </c>
      <c r="BP55" s="84">
        <f t="shared" si="23"/>
        <v>0</v>
      </c>
      <c r="BQ55" s="84">
        <f t="shared" si="23"/>
        <v>0</v>
      </c>
      <c r="BR55" s="84">
        <f t="shared" si="23"/>
        <v>0</v>
      </c>
      <c r="BS55" s="84">
        <f t="shared" si="23"/>
        <v>0</v>
      </c>
      <c r="BT55" s="84">
        <f t="shared" si="23"/>
        <v>0</v>
      </c>
      <c r="BU55" s="84">
        <f t="shared" si="23"/>
        <v>0</v>
      </c>
      <c r="BV55" s="84">
        <f t="shared" si="23"/>
        <v>0</v>
      </c>
      <c r="BW55" s="84">
        <f t="shared" si="23"/>
        <v>0</v>
      </c>
      <c r="BX55" s="595"/>
      <c r="BY55" s="100">
        <f t="shared" si="17"/>
        <v>0</v>
      </c>
      <c r="CB55" s="74"/>
      <c r="CC55"/>
    </row>
    <row r="56" spans="1:84" s="201" customFormat="1" x14ac:dyDescent="0.25">
      <c r="A56" s="418">
        <f t="shared" si="4"/>
        <v>4</v>
      </c>
      <c r="B56" s="96" t="str">
        <f t="shared" si="4"/>
        <v>NV07</v>
      </c>
      <c r="C56" s="96" t="str">
        <f t="shared" si="4"/>
        <v xml:space="preserve">Triệu Bô Na </v>
      </c>
      <c r="D56" s="96" t="str">
        <f t="shared" si="4"/>
        <v xml:space="preserve">Công nhân </v>
      </c>
      <c r="E56" s="84">
        <f t="shared" ref="E56:T56" si="24">E9*E$50</f>
        <v>0</v>
      </c>
      <c r="F56" s="84">
        <f t="shared" si="24"/>
        <v>0</v>
      </c>
      <c r="G56" s="84">
        <f t="shared" si="24"/>
        <v>0</v>
      </c>
      <c r="H56" s="84">
        <f t="shared" si="24"/>
        <v>0</v>
      </c>
      <c r="I56" s="84">
        <f t="shared" si="24"/>
        <v>0</v>
      </c>
      <c r="J56" s="84">
        <f t="shared" si="24"/>
        <v>0</v>
      </c>
      <c r="K56" s="84">
        <f t="shared" si="24"/>
        <v>0</v>
      </c>
      <c r="L56" s="84">
        <f t="shared" si="24"/>
        <v>0</v>
      </c>
      <c r="M56" s="84">
        <f t="shared" si="24"/>
        <v>0</v>
      </c>
      <c r="N56" s="84">
        <f t="shared" si="24"/>
        <v>0</v>
      </c>
      <c r="O56" s="84">
        <f t="shared" si="24"/>
        <v>0</v>
      </c>
      <c r="P56" s="84">
        <f t="shared" si="24"/>
        <v>0</v>
      </c>
      <c r="Q56" s="84">
        <f t="shared" si="24"/>
        <v>0</v>
      </c>
      <c r="R56" s="84">
        <f t="shared" si="24"/>
        <v>0</v>
      </c>
      <c r="S56" s="84">
        <f t="shared" si="24"/>
        <v>0</v>
      </c>
      <c r="T56" s="84">
        <f t="shared" si="24"/>
        <v>0</v>
      </c>
      <c r="U56" s="589"/>
      <c r="V56" s="84">
        <f t="shared" ref="V56:AJ56" si="25">V9*V$50</f>
        <v>0</v>
      </c>
      <c r="W56" s="84">
        <f t="shared" si="25"/>
        <v>0</v>
      </c>
      <c r="X56" s="84">
        <f t="shared" si="25"/>
        <v>0</v>
      </c>
      <c r="Y56" s="84">
        <f t="shared" si="25"/>
        <v>0</v>
      </c>
      <c r="Z56" s="84">
        <f t="shared" si="25"/>
        <v>0</v>
      </c>
      <c r="AA56" s="84">
        <f t="shared" si="25"/>
        <v>0</v>
      </c>
      <c r="AB56" s="84">
        <f t="shared" si="25"/>
        <v>0</v>
      </c>
      <c r="AC56" s="84">
        <f t="shared" si="25"/>
        <v>0</v>
      </c>
      <c r="AD56" s="84">
        <f t="shared" si="25"/>
        <v>0</v>
      </c>
      <c r="AE56" s="84">
        <f t="shared" si="25"/>
        <v>0</v>
      </c>
      <c r="AF56" s="84">
        <f t="shared" si="25"/>
        <v>0</v>
      </c>
      <c r="AG56" s="84">
        <f t="shared" si="25"/>
        <v>0</v>
      </c>
      <c r="AH56" s="84">
        <f t="shared" si="25"/>
        <v>0</v>
      </c>
      <c r="AI56" s="84">
        <f t="shared" si="25"/>
        <v>0</v>
      </c>
      <c r="AJ56" s="84">
        <f t="shared" si="25"/>
        <v>0</v>
      </c>
      <c r="AK56" s="589"/>
      <c r="AL56" s="84">
        <f t="shared" ref="AL56:AO56" si="26">AL9*AL$50</f>
        <v>8447209.615384616</v>
      </c>
      <c r="AM56" s="84">
        <f t="shared" si="26"/>
        <v>2150169.230769231</v>
      </c>
      <c r="AN56" s="84">
        <f t="shared" si="26"/>
        <v>0</v>
      </c>
      <c r="AO56" s="84">
        <f t="shared" si="26"/>
        <v>2080609.6153846153</v>
      </c>
      <c r="AP56" s="593"/>
      <c r="AQ56" s="332">
        <f t="shared" ref="AQ56:BC56" si="27">AQ9*AQ$50</f>
        <v>0</v>
      </c>
      <c r="AR56" s="332">
        <f t="shared" si="27"/>
        <v>0</v>
      </c>
      <c r="AS56" s="332">
        <f t="shared" si="27"/>
        <v>0</v>
      </c>
      <c r="AT56" s="332">
        <f t="shared" si="27"/>
        <v>0</v>
      </c>
      <c r="AU56" s="332">
        <f t="shared" si="27"/>
        <v>0</v>
      </c>
      <c r="AV56" s="332">
        <f t="shared" si="27"/>
        <v>0</v>
      </c>
      <c r="AW56" s="306">
        <f t="shared" si="27"/>
        <v>0</v>
      </c>
      <c r="AX56" s="306">
        <f t="shared" si="27"/>
        <v>0</v>
      </c>
      <c r="AY56" s="306">
        <f t="shared" si="27"/>
        <v>0</v>
      </c>
      <c r="AZ56" s="306">
        <f t="shared" si="27"/>
        <v>0</v>
      </c>
      <c r="BA56" s="306">
        <f t="shared" si="27"/>
        <v>0</v>
      </c>
      <c r="BB56" s="306">
        <f t="shared" si="27"/>
        <v>0</v>
      </c>
      <c r="BC56" s="306">
        <f t="shared" si="27"/>
        <v>0</v>
      </c>
      <c r="BD56" s="589"/>
      <c r="BE56" s="84">
        <f t="shared" ref="BE56:BH56" si="28">BE9*BE$50</f>
        <v>0</v>
      </c>
      <c r="BF56" s="84">
        <f t="shared" si="28"/>
        <v>0</v>
      </c>
      <c r="BG56" s="84">
        <f t="shared" si="28"/>
        <v>0</v>
      </c>
      <c r="BH56" s="84">
        <f t="shared" si="28"/>
        <v>0</v>
      </c>
      <c r="BI56" s="589"/>
      <c r="BJ56" s="84">
        <f t="shared" ref="BJ56:BW56" si="29">BJ9*BJ$50/60</f>
        <v>0</v>
      </c>
      <c r="BK56" s="84">
        <f t="shared" si="29"/>
        <v>21634.615384615383</v>
      </c>
      <c r="BL56" s="84">
        <f t="shared" si="29"/>
        <v>0</v>
      </c>
      <c r="BM56" s="84">
        <f t="shared" si="29"/>
        <v>0</v>
      </c>
      <c r="BN56" s="84">
        <f t="shared" si="29"/>
        <v>0</v>
      </c>
      <c r="BO56" s="84">
        <f t="shared" si="29"/>
        <v>0</v>
      </c>
      <c r="BP56" s="84">
        <f t="shared" si="29"/>
        <v>0</v>
      </c>
      <c r="BQ56" s="84">
        <f t="shared" si="29"/>
        <v>0</v>
      </c>
      <c r="BR56" s="84">
        <f t="shared" si="29"/>
        <v>28245.192307692309</v>
      </c>
      <c r="BS56" s="84">
        <f t="shared" si="29"/>
        <v>0</v>
      </c>
      <c r="BT56" s="84">
        <f t="shared" si="29"/>
        <v>68108.974358974359</v>
      </c>
      <c r="BU56" s="84">
        <f t="shared" si="29"/>
        <v>0</v>
      </c>
      <c r="BV56" s="84">
        <f t="shared" si="29"/>
        <v>0</v>
      </c>
      <c r="BW56" s="84">
        <f t="shared" si="29"/>
        <v>0</v>
      </c>
      <c r="BX56" s="595"/>
      <c r="BY56" s="100">
        <f t="shared" si="17"/>
        <v>12795977.243589746</v>
      </c>
      <c r="CB56"/>
      <c r="CC56"/>
    </row>
    <row r="57" spans="1:84" s="201" customFormat="1" x14ac:dyDescent="0.25">
      <c r="A57" s="418">
        <f t="shared" si="4"/>
        <v>5</v>
      </c>
      <c r="B57" s="96" t="str">
        <f t="shared" si="4"/>
        <v>NV09</v>
      </c>
      <c r="C57" s="96" t="str">
        <f t="shared" si="4"/>
        <v>Phan Lâm Thương</v>
      </c>
      <c r="D57" s="96" t="str">
        <f t="shared" si="4"/>
        <v xml:space="preserve">Công nhân </v>
      </c>
      <c r="E57" s="84">
        <f t="shared" ref="E57:T57" si="30">E10*E$50</f>
        <v>0</v>
      </c>
      <c r="F57" s="84">
        <f t="shared" si="30"/>
        <v>0</v>
      </c>
      <c r="G57" s="84">
        <f t="shared" si="30"/>
        <v>0</v>
      </c>
      <c r="H57" s="84">
        <f t="shared" si="30"/>
        <v>0</v>
      </c>
      <c r="I57" s="84">
        <f t="shared" si="30"/>
        <v>0</v>
      </c>
      <c r="J57" s="84">
        <f t="shared" si="30"/>
        <v>0</v>
      </c>
      <c r="K57" s="84">
        <f t="shared" si="30"/>
        <v>0</v>
      </c>
      <c r="L57" s="84">
        <f t="shared" si="30"/>
        <v>0</v>
      </c>
      <c r="M57" s="84">
        <f t="shared" si="30"/>
        <v>0</v>
      </c>
      <c r="N57" s="84">
        <f t="shared" si="30"/>
        <v>0</v>
      </c>
      <c r="O57" s="84">
        <f t="shared" si="30"/>
        <v>0</v>
      </c>
      <c r="P57" s="84">
        <f t="shared" si="30"/>
        <v>0</v>
      </c>
      <c r="Q57" s="84">
        <f t="shared" si="30"/>
        <v>0</v>
      </c>
      <c r="R57" s="84">
        <f t="shared" si="30"/>
        <v>0</v>
      </c>
      <c r="S57" s="84">
        <f t="shared" si="30"/>
        <v>0</v>
      </c>
      <c r="T57" s="84">
        <f t="shared" si="30"/>
        <v>0</v>
      </c>
      <c r="U57" s="589"/>
      <c r="V57" s="84">
        <f t="shared" ref="V57:AJ57" si="31">V10*V$50</f>
        <v>0</v>
      </c>
      <c r="W57" s="84">
        <f t="shared" si="31"/>
        <v>0</v>
      </c>
      <c r="X57" s="84">
        <f t="shared" si="31"/>
        <v>0</v>
      </c>
      <c r="Y57" s="84">
        <f t="shared" si="31"/>
        <v>0</v>
      </c>
      <c r="Z57" s="84">
        <f t="shared" si="31"/>
        <v>0</v>
      </c>
      <c r="AA57" s="84">
        <f t="shared" si="31"/>
        <v>0</v>
      </c>
      <c r="AB57" s="84">
        <f t="shared" si="31"/>
        <v>0</v>
      </c>
      <c r="AC57" s="84">
        <f t="shared" si="31"/>
        <v>0</v>
      </c>
      <c r="AD57" s="84">
        <f t="shared" si="31"/>
        <v>0</v>
      </c>
      <c r="AE57" s="84">
        <f t="shared" si="31"/>
        <v>0</v>
      </c>
      <c r="AF57" s="84">
        <f t="shared" si="31"/>
        <v>0</v>
      </c>
      <c r="AG57" s="84">
        <f t="shared" si="31"/>
        <v>0</v>
      </c>
      <c r="AH57" s="84">
        <f t="shared" si="31"/>
        <v>0</v>
      </c>
      <c r="AI57" s="84">
        <f t="shared" si="31"/>
        <v>0</v>
      </c>
      <c r="AJ57" s="84">
        <f t="shared" si="31"/>
        <v>0</v>
      </c>
      <c r="AK57" s="589"/>
      <c r="AL57" s="84">
        <f t="shared" ref="AL57:AO57" si="32">AL10*AL$50</f>
        <v>7791109.615384615</v>
      </c>
      <c r="AM57" s="84">
        <f t="shared" si="32"/>
        <v>1981315.3846153847</v>
      </c>
      <c r="AN57" s="84">
        <f t="shared" si="32"/>
        <v>0</v>
      </c>
      <c r="AO57" s="84">
        <f t="shared" si="32"/>
        <v>2662875</v>
      </c>
      <c r="AP57" s="593"/>
      <c r="AQ57" s="332">
        <f t="shared" ref="AQ57:BC57" si="33">AQ10*AQ$50</f>
        <v>0</v>
      </c>
      <c r="AR57" s="332">
        <f t="shared" si="33"/>
        <v>0</v>
      </c>
      <c r="AS57" s="332">
        <f t="shared" si="33"/>
        <v>0</v>
      </c>
      <c r="AT57" s="332">
        <f t="shared" si="33"/>
        <v>0</v>
      </c>
      <c r="AU57" s="332">
        <f t="shared" si="33"/>
        <v>0</v>
      </c>
      <c r="AV57" s="332">
        <f t="shared" si="33"/>
        <v>0</v>
      </c>
      <c r="AW57" s="306">
        <f t="shared" si="33"/>
        <v>0</v>
      </c>
      <c r="AX57" s="306">
        <f t="shared" si="33"/>
        <v>0</v>
      </c>
      <c r="AY57" s="306">
        <f t="shared" si="33"/>
        <v>0</v>
      </c>
      <c r="AZ57" s="306">
        <f t="shared" si="33"/>
        <v>0</v>
      </c>
      <c r="BA57" s="306">
        <f t="shared" si="33"/>
        <v>0</v>
      </c>
      <c r="BB57" s="306">
        <f t="shared" si="33"/>
        <v>0</v>
      </c>
      <c r="BC57" s="306">
        <f t="shared" si="33"/>
        <v>0</v>
      </c>
      <c r="BD57" s="589"/>
      <c r="BE57" s="84">
        <f t="shared" ref="BE57:BH57" si="34">BE10*BE$50</f>
        <v>0</v>
      </c>
      <c r="BF57" s="84">
        <f t="shared" si="34"/>
        <v>0</v>
      </c>
      <c r="BG57" s="84">
        <f t="shared" si="34"/>
        <v>0</v>
      </c>
      <c r="BH57" s="84">
        <f t="shared" si="34"/>
        <v>0</v>
      </c>
      <c r="BI57" s="589"/>
      <c r="BJ57" s="84">
        <f t="shared" ref="BJ57:BW57" si="35">BJ10*BJ$50/60</f>
        <v>0</v>
      </c>
      <c r="BK57" s="84">
        <f t="shared" si="35"/>
        <v>0</v>
      </c>
      <c r="BL57" s="84">
        <f t="shared" si="35"/>
        <v>0</v>
      </c>
      <c r="BM57" s="84">
        <f t="shared" si="35"/>
        <v>0</v>
      </c>
      <c r="BN57" s="84">
        <f t="shared" si="35"/>
        <v>0</v>
      </c>
      <c r="BO57" s="84">
        <f t="shared" si="35"/>
        <v>0</v>
      </c>
      <c r="BP57" s="84">
        <f t="shared" si="35"/>
        <v>0</v>
      </c>
      <c r="BQ57" s="84">
        <f t="shared" si="35"/>
        <v>0</v>
      </c>
      <c r="BR57" s="84">
        <f t="shared" si="35"/>
        <v>0</v>
      </c>
      <c r="BS57" s="84">
        <f t="shared" si="35"/>
        <v>0</v>
      </c>
      <c r="BT57" s="84">
        <f t="shared" si="35"/>
        <v>48076.923076923078</v>
      </c>
      <c r="BU57" s="84">
        <f t="shared" si="35"/>
        <v>0</v>
      </c>
      <c r="BV57" s="84">
        <f t="shared" si="35"/>
        <v>0</v>
      </c>
      <c r="BW57" s="84">
        <f t="shared" si="35"/>
        <v>0</v>
      </c>
      <c r="BX57" s="595"/>
      <c r="BY57" s="100">
        <f t="shared" si="17"/>
        <v>12483376.923076924</v>
      </c>
      <c r="CB57" s="54"/>
      <c r="CC57" s="54"/>
    </row>
    <row r="58" spans="1:84" x14ac:dyDescent="0.25">
      <c r="A58" s="418">
        <f t="shared" si="4"/>
        <v>6</v>
      </c>
      <c r="B58" s="96" t="str">
        <f t="shared" si="4"/>
        <v>NV10</v>
      </c>
      <c r="C58" s="96" t="str">
        <f t="shared" si="4"/>
        <v>Nguyễn Bình Luận</v>
      </c>
      <c r="D58" s="96" t="str">
        <f t="shared" si="4"/>
        <v xml:space="preserve">Công nhân </v>
      </c>
      <c r="E58" s="84">
        <f t="shared" ref="E58:T58" si="36">E11*E$50</f>
        <v>0</v>
      </c>
      <c r="F58" s="84">
        <f t="shared" si="36"/>
        <v>0</v>
      </c>
      <c r="G58" s="84">
        <f t="shared" si="36"/>
        <v>0</v>
      </c>
      <c r="H58" s="84">
        <f t="shared" si="36"/>
        <v>0</v>
      </c>
      <c r="I58" s="84">
        <f t="shared" si="36"/>
        <v>0</v>
      </c>
      <c r="J58" s="84">
        <f t="shared" si="36"/>
        <v>0</v>
      </c>
      <c r="K58" s="84">
        <f t="shared" si="36"/>
        <v>0</v>
      </c>
      <c r="L58" s="84">
        <f t="shared" si="36"/>
        <v>0</v>
      </c>
      <c r="M58" s="84">
        <f t="shared" si="36"/>
        <v>0</v>
      </c>
      <c r="N58" s="84">
        <f t="shared" si="36"/>
        <v>0</v>
      </c>
      <c r="O58" s="84">
        <f t="shared" si="36"/>
        <v>0</v>
      </c>
      <c r="P58" s="84">
        <f t="shared" si="36"/>
        <v>0</v>
      </c>
      <c r="Q58" s="84">
        <f t="shared" si="36"/>
        <v>0</v>
      </c>
      <c r="R58" s="84">
        <f t="shared" si="36"/>
        <v>0</v>
      </c>
      <c r="S58" s="84">
        <f t="shared" si="36"/>
        <v>0</v>
      </c>
      <c r="T58" s="84">
        <f t="shared" si="36"/>
        <v>0</v>
      </c>
      <c r="U58" s="589"/>
      <c r="V58" s="84">
        <f t="shared" ref="V58:AJ58" si="37">V11*V$50</f>
        <v>0</v>
      </c>
      <c r="W58" s="84">
        <f t="shared" si="37"/>
        <v>0</v>
      </c>
      <c r="X58" s="84">
        <f t="shared" si="37"/>
        <v>0</v>
      </c>
      <c r="Y58" s="84">
        <f t="shared" si="37"/>
        <v>0</v>
      </c>
      <c r="Z58" s="84">
        <f t="shared" si="37"/>
        <v>0</v>
      </c>
      <c r="AA58" s="84">
        <f t="shared" si="37"/>
        <v>0</v>
      </c>
      <c r="AB58" s="84">
        <f t="shared" si="37"/>
        <v>0</v>
      </c>
      <c r="AC58" s="84">
        <f t="shared" si="37"/>
        <v>0</v>
      </c>
      <c r="AD58" s="84">
        <f t="shared" si="37"/>
        <v>0</v>
      </c>
      <c r="AE58" s="84">
        <f t="shared" si="37"/>
        <v>0</v>
      </c>
      <c r="AF58" s="84">
        <f t="shared" si="37"/>
        <v>0</v>
      </c>
      <c r="AG58" s="84">
        <f t="shared" si="37"/>
        <v>0</v>
      </c>
      <c r="AH58" s="84">
        <f t="shared" si="37"/>
        <v>0</v>
      </c>
      <c r="AI58" s="84">
        <f t="shared" si="37"/>
        <v>0</v>
      </c>
      <c r="AJ58" s="84">
        <f t="shared" si="37"/>
        <v>0</v>
      </c>
      <c r="AK58" s="589"/>
      <c r="AL58" s="84">
        <f t="shared" ref="AL58:AO58" si="38">AL11*AL$50</f>
        <v>8277109.615384615</v>
      </c>
      <c r="AM58" s="84">
        <f t="shared" si="38"/>
        <v>1876794.2307692308</v>
      </c>
      <c r="AN58" s="84">
        <f t="shared" si="38"/>
        <v>0</v>
      </c>
      <c r="AO58" s="84">
        <f t="shared" si="38"/>
        <v>2055842.3076923077</v>
      </c>
      <c r="AP58" s="593"/>
      <c r="AQ58" s="332">
        <f t="shared" ref="AQ58:BC58" si="39">AQ11*AQ$50</f>
        <v>0</v>
      </c>
      <c r="AR58" s="332">
        <f t="shared" si="39"/>
        <v>0</v>
      </c>
      <c r="AS58" s="332">
        <f t="shared" si="39"/>
        <v>0</v>
      </c>
      <c r="AT58" s="332">
        <f t="shared" si="39"/>
        <v>0</v>
      </c>
      <c r="AU58" s="332">
        <f t="shared" si="39"/>
        <v>0</v>
      </c>
      <c r="AV58" s="332">
        <f t="shared" si="39"/>
        <v>0</v>
      </c>
      <c r="AW58" s="306">
        <f t="shared" si="39"/>
        <v>0</v>
      </c>
      <c r="AX58" s="306">
        <f t="shared" si="39"/>
        <v>0</v>
      </c>
      <c r="AY58" s="306">
        <f t="shared" si="39"/>
        <v>0</v>
      </c>
      <c r="AZ58" s="306">
        <f t="shared" si="39"/>
        <v>0</v>
      </c>
      <c r="BA58" s="306">
        <f t="shared" si="39"/>
        <v>0</v>
      </c>
      <c r="BB58" s="306">
        <f t="shared" si="39"/>
        <v>0</v>
      </c>
      <c r="BC58" s="306">
        <f t="shared" si="39"/>
        <v>0</v>
      </c>
      <c r="BD58" s="589"/>
      <c r="BE58" s="84">
        <f t="shared" ref="BE58:BH58" si="40">BE11*BE$50</f>
        <v>0</v>
      </c>
      <c r="BF58" s="84">
        <f t="shared" si="40"/>
        <v>0</v>
      </c>
      <c r="BG58" s="84">
        <f t="shared" si="40"/>
        <v>0</v>
      </c>
      <c r="BH58" s="84">
        <f t="shared" si="40"/>
        <v>0</v>
      </c>
      <c r="BI58" s="589"/>
      <c r="BJ58" s="84">
        <f t="shared" ref="BJ58:BW58" si="41">BJ11*BJ$50/60</f>
        <v>0</v>
      </c>
      <c r="BK58" s="84">
        <f t="shared" si="41"/>
        <v>21634.615384615383</v>
      </c>
      <c r="BL58" s="84">
        <f t="shared" si="41"/>
        <v>0</v>
      </c>
      <c r="BM58" s="84">
        <f t="shared" si="41"/>
        <v>0</v>
      </c>
      <c r="BN58" s="84">
        <f t="shared" si="41"/>
        <v>0</v>
      </c>
      <c r="BO58" s="84">
        <f t="shared" si="41"/>
        <v>0</v>
      </c>
      <c r="BP58" s="84">
        <f t="shared" si="41"/>
        <v>0</v>
      </c>
      <c r="BQ58" s="84">
        <f t="shared" si="41"/>
        <v>0</v>
      </c>
      <c r="BR58" s="84">
        <f t="shared" si="41"/>
        <v>28245.192307692309</v>
      </c>
      <c r="BS58" s="84">
        <f t="shared" si="41"/>
        <v>0</v>
      </c>
      <c r="BT58" s="84">
        <f t="shared" si="41"/>
        <v>48076.923076923078</v>
      </c>
      <c r="BU58" s="84">
        <f t="shared" si="41"/>
        <v>0</v>
      </c>
      <c r="BV58" s="84">
        <f t="shared" si="41"/>
        <v>0</v>
      </c>
      <c r="BW58" s="84">
        <f t="shared" si="41"/>
        <v>0</v>
      </c>
      <c r="BX58" s="595"/>
      <c r="BY58" s="100">
        <f t="shared" si="17"/>
        <v>12307702.884615386</v>
      </c>
      <c r="CC58" s="108"/>
    </row>
    <row r="59" spans="1:84" x14ac:dyDescent="0.25">
      <c r="A59" s="418">
        <f t="shared" si="4"/>
        <v>7</v>
      </c>
      <c r="B59" s="96" t="str">
        <f t="shared" si="4"/>
        <v>NV11</v>
      </c>
      <c r="C59" s="96" t="str">
        <f t="shared" si="4"/>
        <v>Nguyễn Thế Lực</v>
      </c>
      <c r="D59" s="96" t="str">
        <f t="shared" si="4"/>
        <v xml:space="preserve">Công nhân </v>
      </c>
      <c r="E59" s="84">
        <f t="shared" ref="E59:T59" si="42">E12*E$50</f>
        <v>0</v>
      </c>
      <c r="F59" s="84">
        <f t="shared" si="42"/>
        <v>0</v>
      </c>
      <c r="G59" s="84">
        <f t="shared" si="42"/>
        <v>0</v>
      </c>
      <c r="H59" s="84">
        <f t="shared" si="42"/>
        <v>0</v>
      </c>
      <c r="I59" s="84">
        <f t="shared" si="42"/>
        <v>0</v>
      </c>
      <c r="J59" s="84">
        <f t="shared" si="42"/>
        <v>0</v>
      </c>
      <c r="K59" s="84">
        <f t="shared" si="42"/>
        <v>0</v>
      </c>
      <c r="L59" s="84">
        <f t="shared" si="42"/>
        <v>0</v>
      </c>
      <c r="M59" s="84">
        <f t="shared" si="42"/>
        <v>0</v>
      </c>
      <c r="N59" s="84">
        <f t="shared" si="42"/>
        <v>0</v>
      </c>
      <c r="O59" s="84">
        <f t="shared" si="42"/>
        <v>0</v>
      </c>
      <c r="P59" s="84">
        <f t="shared" si="42"/>
        <v>0</v>
      </c>
      <c r="Q59" s="84">
        <f t="shared" si="42"/>
        <v>0</v>
      </c>
      <c r="R59" s="84">
        <f t="shared" si="42"/>
        <v>0</v>
      </c>
      <c r="S59" s="84">
        <f t="shared" si="42"/>
        <v>0</v>
      </c>
      <c r="T59" s="84">
        <f t="shared" si="42"/>
        <v>0</v>
      </c>
      <c r="U59" s="589"/>
      <c r="V59" s="84">
        <f t="shared" ref="V59:AJ59" si="43">V12*V$50</f>
        <v>0</v>
      </c>
      <c r="W59" s="84">
        <f t="shared" si="43"/>
        <v>0</v>
      </c>
      <c r="X59" s="84">
        <f t="shared" si="43"/>
        <v>0</v>
      </c>
      <c r="Y59" s="84">
        <f t="shared" si="43"/>
        <v>0</v>
      </c>
      <c r="Z59" s="84">
        <f t="shared" si="43"/>
        <v>0</v>
      </c>
      <c r="AA59" s="84">
        <f t="shared" si="43"/>
        <v>0</v>
      </c>
      <c r="AB59" s="84">
        <f t="shared" si="43"/>
        <v>0</v>
      </c>
      <c r="AC59" s="84">
        <f t="shared" si="43"/>
        <v>0</v>
      </c>
      <c r="AD59" s="84">
        <f t="shared" si="43"/>
        <v>0</v>
      </c>
      <c r="AE59" s="84">
        <f t="shared" si="43"/>
        <v>0</v>
      </c>
      <c r="AF59" s="84">
        <f t="shared" si="43"/>
        <v>0</v>
      </c>
      <c r="AG59" s="84">
        <f t="shared" si="43"/>
        <v>0</v>
      </c>
      <c r="AH59" s="84">
        <f t="shared" si="43"/>
        <v>0</v>
      </c>
      <c r="AI59" s="84">
        <f t="shared" si="43"/>
        <v>0</v>
      </c>
      <c r="AJ59" s="84">
        <f t="shared" si="43"/>
        <v>0</v>
      </c>
      <c r="AK59" s="589"/>
      <c r="AL59" s="84">
        <f t="shared" ref="AL59:AO59" si="44">AL12*AL$50</f>
        <v>6642155.769230769</v>
      </c>
      <c r="AM59" s="84">
        <f t="shared" si="44"/>
        <v>1884894.2307692308</v>
      </c>
      <c r="AN59" s="84">
        <f t="shared" si="44"/>
        <v>0</v>
      </c>
      <c r="AO59" s="84">
        <f t="shared" si="44"/>
        <v>2553369.2307692305</v>
      </c>
      <c r="AP59" s="593"/>
      <c r="AQ59" s="332">
        <f t="shared" ref="AQ59:BC59" si="45">AQ12*AQ$50</f>
        <v>0</v>
      </c>
      <c r="AR59" s="332">
        <f t="shared" si="45"/>
        <v>0</v>
      </c>
      <c r="AS59" s="332">
        <f t="shared" si="45"/>
        <v>0</v>
      </c>
      <c r="AT59" s="332">
        <f t="shared" si="45"/>
        <v>0</v>
      </c>
      <c r="AU59" s="332">
        <f t="shared" si="45"/>
        <v>0</v>
      </c>
      <c r="AV59" s="332">
        <f t="shared" si="45"/>
        <v>0</v>
      </c>
      <c r="AW59" s="306">
        <f t="shared" si="45"/>
        <v>0</v>
      </c>
      <c r="AX59" s="306">
        <f t="shared" si="45"/>
        <v>0</v>
      </c>
      <c r="AY59" s="306">
        <f t="shared" si="45"/>
        <v>0</v>
      </c>
      <c r="AZ59" s="306">
        <f t="shared" si="45"/>
        <v>0</v>
      </c>
      <c r="BA59" s="306">
        <f t="shared" si="45"/>
        <v>0</v>
      </c>
      <c r="BB59" s="306">
        <f t="shared" si="45"/>
        <v>0</v>
      </c>
      <c r="BC59" s="306">
        <f t="shared" si="45"/>
        <v>0</v>
      </c>
      <c r="BD59" s="589"/>
      <c r="BE59" s="84">
        <f t="shared" ref="BE59:BH59" si="46">BE12*BE$50</f>
        <v>0</v>
      </c>
      <c r="BF59" s="84">
        <f t="shared" si="46"/>
        <v>0</v>
      </c>
      <c r="BG59" s="84">
        <f t="shared" si="46"/>
        <v>0</v>
      </c>
      <c r="BH59" s="84">
        <f t="shared" si="46"/>
        <v>0</v>
      </c>
      <c r="BI59" s="589"/>
      <c r="BJ59" s="84">
        <f t="shared" ref="BJ59:BW59" si="47">BJ12*BJ$50/60</f>
        <v>0</v>
      </c>
      <c r="BK59" s="84">
        <f t="shared" si="47"/>
        <v>0</v>
      </c>
      <c r="BL59" s="84">
        <f t="shared" si="47"/>
        <v>0</v>
      </c>
      <c r="BM59" s="84">
        <f t="shared" si="47"/>
        <v>0</v>
      </c>
      <c r="BN59" s="84">
        <f t="shared" si="47"/>
        <v>173076.92307692306</v>
      </c>
      <c r="BO59" s="84">
        <f t="shared" si="47"/>
        <v>0</v>
      </c>
      <c r="BP59" s="84">
        <f t="shared" si="47"/>
        <v>0</v>
      </c>
      <c r="BQ59" s="84">
        <f t="shared" si="47"/>
        <v>0</v>
      </c>
      <c r="BR59" s="84">
        <f t="shared" si="47"/>
        <v>0</v>
      </c>
      <c r="BS59" s="84">
        <f t="shared" si="47"/>
        <v>0</v>
      </c>
      <c r="BT59" s="84">
        <f t="shared" si="47"/>
        <v>24038.461538461539</v>
      </c>
      <c r="BU59" s="84">
        <f t="shared" si="47"/>
        <v>0</v>
      </c>
      <c r="BV59" s="84">
        <f t="shared" si="47"/>
        <v>0</v>
      </c>
      <c r="BW59" s="84">
        <f t="shared" si="47"/>
        <v>0</v>
      </c>
      <c r="BX59" s="595"/>
      <c r="BY59" s="100">
        <f t="shared" si="17"/>
        <v>11277534.615384616</v>
      </c>
      <c r="CC59" s="108"/>
    </row>
    <row r="60" spans="1:84" s="578" customFormat="1" ht="17.25" customHeight="1" x14ac:dyDescent="0.25">
      <c r="A60" s="418">
        <f t="shared" si="4"/>
        <v>8</v>
      </c>
      <c r="B60" s="96" t="str">
        <f t="shared" si="4"/>
        <v>NV12</v>
      </c>
      <c r="C60" s="96" t="str">
        <f t="shared" si="4"/>
        <v>Nguyễn Thành Vân</v>
      </c>
      <c r="D60" s="96" t="str">
        <f t="shared" si="4"/>
        <v xml:space="preserve">Công nhân </v>
      </c>
      <c r="E60" s="84">
        <f t="shared" ref="E60:T60" si="48">E13*E$50</f>
        <v>0</v>
      </c>
      <c r="F60" s="84">
        <f t="shared" si="48"/>
        <v>0</v>
      </c>
      <c r="G60" s="84">
        <f t="shared" si="48"/>
        <v>0</v>
      </c>
      <c r="H60" s="84">
        <f t="shared" si="48"/>
        <v>0</v>
      </c>
      <c r="I60" s="84">
        <f t="shared" si="48"/>
        <v>0</v>
      </c>
      <c r="J60" s="84">
        <f t="shared" si="48"/>
        <v>0</v>
      </c>
      <c r="K60" s="84">
        <f t="shared" si="48"/>
        <v>0</v>
      </c>
      <c r="L60" s="84">
        <f t="shared" si="48"/>
        <v>0</v>
      </c>
      <c r="M60" s="84">
        <f t="shared" si="48"/>
        <v>0</v>
      </c>
      <c r="N60" s="84">
        <f t="shared" si="48"/>
        <v>0</v>
      </c>
      <c r="O60" s="84">
        <f t="shared" si="48"/>
        <v>0</v>
      </c>
      <c r="P60" s="84">
        <f t="shared" si="48"/>
        <v>0</v>
      </c>
      <c r="Q60" s="84">
        <f t="shared" si="48"/>
        <v>0</v>
      </c>
      <c r="R60" s="84">
        <f t="shared" si="48"/>
        <v>0</v>
      </c>
      <c r="S60" s="84">
        <f t="shared" si="48"/>
        <v>0</v>
      </c>
      <c r="T60" s="84">
        <f t="shared" si="48"/>
        <v>0</v>
      </c>
      <c r="U60" s="589"/>
      <c r="V60" s="84">
        <f t="shared" ref="V60:AJ60" si="49">V13*V$50</f>
        <v>0</v>
      </c>
      <c r="W60" s="84">
        <f t="shared" si="49"/>
        <v>0</v>
      </c>
      <c r="X60" s="84">
        <f t="shared" si="49"/>
        <v>0</v>
      </c>
      <c r="Y60" s="84">
        <f t="shared" si="49"/>
        <v>0</v>
      </c>
      <c r="Z60" s="84">
        <f t="shared" si="49"/>
        <v>0</v>
      </c>
      <c r="AA60" s="84">
        <f t="shared" si="49"/>
        <v>0</v>
      </c>
      <c r="AB60" s="84">
        <f t="shared" si="49"/>
        <v>0</v>
      </c>
      <c r="AC60" s="84">
        <f t="shared" si="49"/>
        <v>0</v>
      </c>
      <c r="AD60" s="84">
        <f t="shared" si="49"/>
        <v>0</v>
      </c>
      <c r="AE60" s="84">
        <f t="shared" si="49"/>
        <v>0</v>
      </c>
      <c r="AF60" s="84">
        <f t="shared" si="49"/>
        <v>0</v>
      </c>
      <c r="AG60" s="84">
        <f t="shared" si="49"/>
        <v>0</v>
      </c>
      <c r="AH60" s="84">
        <f t="shared" si="49"/>
        <v>0</v>
      </c>
      <c r="AI60" s="84">
        <f t="shared" si="49"/>
        <v>0</v>
      </c>
      <c r="AJ60" s="84">
        <f t="shared" si="49"/>
        <v>0</v>
      </c>
      <c r="AK60" s="589"/>
      <c r="AL60" s="84">
        <f t="shared" ref="AL60:AO60" si="50">AL13*AL$50</f>
        <v>8514034.615384616</v>
      </c>
      <c r="AM60" s="84">
        <f t="shared" si="50"/>
        <v>2093936.5384615385</v>
      </c>
      <c r="AN60" s="84">
        <f t="shared" si="50"/>
        <v>0</v>
      </c>
      <c r="AO60" s="84">
        <f t="shared" si="50"/>
        <v>2080609.6153846153</v>
      </c>
      <c r="AP60" s="593"/>
      <c r="AQ60" s="332">
        <f t="shared" ref="AQ60:BC60" si="51">AQ13*AQ$50</f>
        <v>0</v>
      </c>
      <c r="AR60" s="332">
        <f t="shared" si="51"/>
        <v>0</v>
      </c>
      <c r="AS60" s="332">
        <f t="shared" si="51"/>
        <v>0</v>
      </c>
      <c r="AT60" s="332">
        <f t="shared" si="51"/>
        <v>0</v>
      </c>
      <c r="AU60" s="332">
        <f t="shared" si="51"/>
        <v>0</v>
      </c>
      <c r="AV60" s="332">
        <f t="shared" si="51"/>
        <v>0</v>
      </c>
      <c r="AW60" s="306">
        <f t="shared" si="51"/>
        <v>0</v>
      </c>
      <c r="AX60" s="306">
        <f t="shared" si="51"/>
        <v>0</v>
      </c>
      <c r="AY60" s="306">
        <f t="shared" si="51"/>
        <v>0</v>
      </c>
      <c r="AZ60" s="306">
        <f t="shared" si="51"/>
        <v>0</v>
      </c>
      <c r="BA60" s="306">
        <f t="shared" si="51"/>
        <v>0</v>
      </c>
      <c r="BB60" s="306">
        <f t="shared" si="51"/>
        <v>0</v>
      </c>
      <c r="BC60" s="306">
        <f t="shared" si="51"/>
        <v>0</v>
      </c>
      <c r="BD60" s="589"/>
      <c r="BE60" s="84">
        <f t="shared" ref="BE60:BH60" si="52">BE13*BE$50</f>
        <v>0</v>
      </c>
      <c r="BF60" s="84">
        <f t="shared" si="52"/>
        <v>0</v>
      </c>
      <c r="BG60" s="84">
        <f t="shared" si="52"/>
        <v>0</v>
      </c>
      <c r="BH60" s="84">
        <f t="shared" si="52"/>
        <v>0</v>
      </c>
      <c r="BI60" s="589"/>
      <c r="BJ60" s="84">
        <f t="shared" ref="BJ60:BW60" si="53">BJ13*BJ$50/60</f>
        <v>0</v>
      </c>
      <c r="BK60" s="84">
        <f t="shared" si="53"/>
        <v>21634.615384615383</v>
      </c>
      <c r="BL60" s="84">
        <f t="shared" si="53"/>
        <v>0</v>
      </c>
      <c r="BM60" s="84">
        <f t="shared" si="53"/>
        <v>0</v>
      </c>
      <c r="BN60" s="84">
        <f t="shared" si="53"/>
        <v>0</v>
      </c>
      <c r="BO60" s="84">
        <f t="shared" si="53"/>
        <v>0</v>
      </c>
      <c r="BP60" s="84">
        <f t="shared" si="53"/>
        <v>0</v>
      </c>
      <c r="BQ60" s="84">
        <f t="shared" si="53"/>
        <v>0</v>
      </c>
      <c r="BR60" s="84">
        <f t="shared" si="53"/>
        <v>28245.192307692309</v>
      </c>
      <c r="BS60" s="84">
        <f t="shared" si="53"/>
        <v>0</v>
      </c>
      <c r="BT60" s="84">
        <f t="shared" si="53"/>
        <v>68108.974358974359</v>
      </c>
      <c r="BU60" s="84">
        <f t="shared" si="53"/>
        <v>0</v>
      </c>
      <c r="BV60" s="84">
        <f t="shared" si="53"/>
        <v>0</v>
      </c>
      <c r="BW60" s="84">
        <f t="shared" si="53"/>
        <v>0</v>
      </c>
      <c r="BX60" s="595"/>
      <c r="BY60" s="100">
        <f t="shared" si="17"/>
        <v>12806569.551282052</v>
      </c>
      <c r="CC60" s="579"/>
      <c r="CD60" s="201"/>
      <c r="CE60" s="201"/>
      <c r="CF60" s="201"/>
    </row>
    <row r="61" spans="1:84" s="578" customFormat="1" ht="17.25" customHeight="1" x14ac:dyDescent="0.25">
      <c r="A61" s="418"/>
      <c r="B61" s="96" t="str">
        <f t="shared" ref="B61:D89" si="54">B14</f>
        <v>NV46</v>
      </c>
      <c r="C61" s="96" t="str">
        <f t="shared" si="54"/>
        <v>Lương Trường Giang</v>
      </c>
      <c r="D61" s="96" t="str">
        <f t="shared" si="54"/>
        <v xml:space="preserve">Công nhân </v>
      </c>
      <c r="E61" s="84">
        <f t="shared" ref="E61:T61" si="55">E14*E$50</f>
        <v>0</v>
      </c>
      <c r="F61" s="84">
        <f t="shared" si="55"/>
        <v>0</v>
      </c>
      <c r="G61" s="84">
        <f t="shared" si="55"/>
        <v>0</v>
      </c>
      <c r="H61" s="84">
        <f t="shared" si="55"/>
        <v>0</v>
      </c>
      <c r="I61" s="84">
        <f t="shared" si="55"/>
        <v>0</v>
      </c>
      <c r="J61" s="84">
        <f t="shared" si="55"/>
        <v>0</v>
      </c>
      <c r="K61" s="84">
        <f t="shared" si="55"/>
        <v>0</v>
      </c>
      <c r="L61" s="84">
        <f t="shared" si="55"/>
        <v>0</v>
      </c>
      <c r="M61" s="84">
        <f t="shared" si="55"/>
        <v>0</v>
      </c>
      <c r="N61" s="84">
        <f t="shared" si="55"/>
        <v>0</v>
      </c>
      <c r="O61" s="84">
        <f t="shared" si="55"/>
        <v>0</v>
      </c>
      <c r="P61" s="84">
        <f t="shared" si="55"/>
        <v>0</v>
      </c>
      <c r="Q61" s="84">
        <f t="shared" si="55"/>
        <v>0</v>
      </c>
      <c r="R61" s="84">
        <f t="shared" si="55"/>
        <v>0</v>
      </c>
      <c r="S61" s="84">
        <f t="shared" si="55"/>
        <v>0</v>
      </c>
      <c r="T61" s="84">
        <f t="shared" si="55"/>
        <v>0</v>
      </c>
      <c r="U61" s="589"/>
      <c r="V61" s="84">
        <f t="shared" ref="V61:AJ61" si="56">V14*V$50</f>
        <v>0</v>
      </c>
      <c r="W61" s="84">
        <f t="shared" si="56"/>
        <v>0</v>
      </c>
      <c r="X61" s="84">
        <f t="shared" si="56"/>
        <v>0</v>
      </c>
      <c r="Y61" s="84">
        <f t="shared" si="56"/>
        <v>0</v>
      </c>
      <c r="Z61" s="84">
        <f t="shared" si="56"/>
        <v>0</v>
      </c>
      <c r="AA61" s="84">
        <f t="shared" si="56"/>
        <v>0</v>
      </c>
      <c r="AB61" s="84">
        <f t="shared" si="56"/>
        <v>0</v>
      </c>
      <c r="AC61" s="84">
        <f t="shared" si="56"/>
        <v>0</v>
      </c>
      <c r="AD61" s="84">
        <f t="shared" si="56"/>
        <v>0</v>
      </c>
      <c r="AE61" s="84">
        <f t="shared" si="56"/>
        <v>0</v>
      </c>
      <c r="AF61" s="84">
        <f t="shared" si="56"/>
        <v>0</v>
      </c>
      <c r="AG61" s="84">
        <f t="shared" si="56"/>
        <v>0</v>
      </c>
      <c r="AH61" s="84">
        <f t="shared" si="56"/>
        <v>0</v>
      </c>
      <c r="AI61" s="84">
        <f t="shared" si="56"/>
        <v>0</v>
      </c>
      <c r="AJ61" s="84">
        <f t="shared" si="56"/>
        <v>0</v>
      </c>
      <c r="AK61" s="589"/>
      <c r="AL61" s="84">
        <f t="shared" ref="AL61:AO61" si="57">AL14*AL$50</f>
        <v>8464500</v>
      </c>
      <c r="AM61" s="84">
        <f t="shared" si="57"/>
        <v>2093936.5384615385</v>
      </c>
      <c r="AN61" s="84">
        <f t="shared" si="57"/>
        <v>0</v>
      </c>
      <c r="AO61" s="84">
        <f t="shared" si="57"/>
        <v>1813932.6923076923</v>
      </c>
      <c r="AP61" s="593"/>
      <c r="AQ61" s="332">
        <f t="shared" ref="AQ61:BC61" si="58">AQ14*AQ$50</f>
        <v>0</v>
      </c>
      <c r="AR61" s="332">
        <f t="shared" si="58"/>
        <v>0</v>
      </c>
      <c r="AS61" s="332">
        <f t="shared" si="58"/>
        <v>0</v>
      </c>
      <c r="AT61" s="332">
        <f t="shared" si="58"/>
        <v>0</v>
      </c>
      <c r="AU61" s="332">
        <f t="shared" si="58"/>
        <v>0</v>
      </c>
      <c r="AV61" s="332">
        <f t="shared" si="58"/>
        <v>0</v>
      </c>
      <c r="AW61" s="306">
        <f t="shared" si="58"/>
        <v>0</v>
      </c>
      <c r="AX61" s="306">
        <f t="shared" si="58"/>
        <v>0</v>
      </c>
      <c r="AY61" s="306">
        <f t="shared" si="58"/>
        <v>0</v>
      </c>
      <c r="AZ61" s="306">
        <f t="shared" si="58"/>
        <v>0</v>
      </c>
      <c r="BA61" s="306">
        <f t="shared" si="58"/>
        <v>0</v>
      </c>
      <c r="BB61" s="306">
        <f t="shared" si="58"/>
        <v>0</v>
      </c>
      <c r="BC61" s="306">
        <f t="shared" si="58"/>
        <v>0</v>
      </c>
      <c r="BD61" s="589"/>
      <c r="BE61" s="84">
        <f t="shared" ref="BE61:BH61" si="59">BE14*BE$50</f>
        <v>0</v>
      </c>
      <c r="BF61" s="84">
        <f t="shared" si="59"/>
        <v>0</v>
      </c>
      <c r="BG61" s="84">
        <f t="shared" si="59"/>
        <v>0</v>
      </c>
      <c r="BH61" s="84">
        <f t="shared" si="59"/>
        <v>0</v>
      </c>
      <c r="BI61" s="589"/>
      <c r="BJ61" s="84">
        <f t="shared" ref="BJ61:BW61" si="60">BJ14*BJ$50/60</f>
        <v>0</v>
      </c>
      <c r="BK61" s="84">
        <f t="shared" si="60"/>
        <v>21634.615384615383</v>
      </c>
      <c r="BL61" s="84">
        <f t="shared" si="60"/>
        <v>0</v>
      </c>
      <c r="BM61" s="84">
        <f t="shared" si="60"/>
        <v>0</v>
      </c>
      <c r="BN61" s="84">
        <f t="shared" si="60"/>
        <v>0</v>
      </c>
      <c r="BO61" s="84">
        <f t="shared" si="60"/>
        <v>0</v>
      </c>
      <c r="BP61" s="84">
        <f t="shared" si="60"/>
        <v>0</v>
      </c>
      <c r="BQ61" s="84">
        <f t="shared" si="60"/>
        <v>0</v>
      </c>
      <c r="BR61" s="84">
        <f t="shared" si="60"/>
        <v>28245.192307692309</v>
      </c>
      <c r="BS61" s="84">
        <f t="shared" si="60"/>
        <v>0</v>
      </c>
      <c r="BT61" s="84">
        <f t="shared" si="60"/>
        <v>68108.974358974359</v>
      </c>
      <c r="BU61" s="84">
        <f t="shared" si="60"/>
        <v>0</v>
      </c>
      <c r="BV61" s="84">
        <f t="shared" si="60"/>
        <v>0</v>
      </c>
      <c r="BW61" s="84">
        <f t="shared" si="60"/>
        <v>0</v>
      </c>
      <c r="BX61" s="595"/>
      <c r="BY61" s="100">
        <f t="shared" si="17"/>
        <v>12490358.012820512</v>
      </c>
      <c r="CC61" s="579"/>
      <c r="CD61" s="201"/>
      <c r="CE61" s="201"/>
      <c r="CF61" s="201"/>
    </row>
    <row r="62" spans="1:84" s="578" customFormat="1" ht="17.25" customHeight="1" x14ac:dyDescent="0.25">
      <c r="A62" s="418"/>
      <c r="B62" s="96" t="str">
        <f t="shared" si="54"/>
        <v>NV47</v>
      </c>
      <c r="C62" s="96" t="str">
        <f t="shared" si="54"/>
        <v>Bùi Trọng Nghĩa</v>
      </c>
      <c r="D62" s="96" t="str">
        <f t="shared" si="54"/>
        <v xml:space="preserve">Công nhân </v>
      </c>
      <c r="E62" s="84">
        <f t="shared" ref="E62:T62" si="61">E15*E$50</f>
        <v>0</v>
      </c>
      <c r="F62" s="84">
        <f t="shared" si="61"/>
        <v>0</v>
      </c>
      <c r="G62" s="84">
        <f t="shared" si="61"/>
        <v>0</v>
      </c>
      <c r="H62" s="84">
        <f t="shared" si="61"/>
        <v>0</v>
      </c>
      <c r="I62" s="84">
        <f t="shared" si="61"/>
        <v>0</v>
      </c>
      <c r="J62" s="84">
        <f t="shared" si="61"/>
        <v>0</v>
      </c>
      <c r="K62" s="84">
        <f t="shared" si="61"/>
        <v>0</v>
      </c>
      <c r="L62" s="84">
        <f t="shared" si="61"/>
        <v>0</v>
      </c>
      <c r="M62" s="84">
        <f t="shared" si="61"/>
        <v>0</v>
      </c>
      <c r="N62" s="84">
        <f t="shared" si="61"/>
        <v>0</v>
      </c>
      <c r="O62" s="84">
        <f t="shared" si="61"/>
        <v>0</v>
      </c>
      <c r="P62" s="84">
        <f t="shared" si="61"/>
        <v>0</v>
      </c>
      <c r="Q62" s="84">
        <f t="shared" si="61"/>
        <v>0</v>
      </c>
      <c r="R62" s="84">
        <f t="shared" si="61"/>
        <v>0</v>
      </c>
      <c r="S62" s="84">
        <f t="shared" si="61"/>
        <v>0</v>
      </c>
      <c r="T62" s="84">
        <f t="shared" si="61"/>
        <v>0</v>
      </c>
      <c r="U62" s="589"/>
      <c r="V62" s="84">
        <f t="shared" ref="V62:AJ62" si="62">V15*V$50</f>
        <v>0</v>
      </c>
      <c r="W62" s="84">
        <f t="shared" si="62"/>
        <v>0</v>
      </c>
      <c r="X62" s="84">
        <f t="shared" si="62"/>
        <v>0</v>
      </c>
      <c r="Y62" s="84">
        <f t="shared" si="62"/>
        <v>0</v>
      </c>
      <c r="Z62" s="84">
        <f t="shared" si="62"/>
        <v>0</v>
      </c>
      <c r="AA62" s="84">
        <f t="shared" si="62"/>
        <v>0</v>
      </c>
      <c r="AB62" s="84">
        <f t="shared" si="62"/>
        <v>0</v>
      </c>
      <c r="AC62" s="84">
        <f t="shared" si="62"/>
        <v>0</v>
      </c>
      <c r="AD62" s="84">
        <f t="shared" si="62"/>
        <v>0</v>
      </c>
      <c r="AE62" s="84">
        <f t="shared" si="62"/>
        <v>0</v>
      </c>
      <c r="AF62" s="84">
        <f t="shared" si="62"/>
        <v>0</v>
      </c>
      <c r="AG62" s="84">
        <f t="shared" si="62"/>
        <v>0</v>
      </c>
      <c r="AH62" s="84">
        <f t="shared" si="62"/>
        <v>0</v>
      </c>
      <c r="AI62" s="84">
        <f t="shared" si="62"/>
        <v>0</v>
      </c>
      <c r="AJ62" s="84">
        <f t="shared" si="62"/>
        <v>0</v>
      </c>
      <c r="AK62" s="589"/>
      <c r="AL62" s="84">
        <f t="shared" ref="AL62:AO62" si="63">AL15*AL$50</f>
        <v>0</v>
      </c>
      <c r="AM62" s="84">
        <f t="shared" si="63"/>
        <v>0</v>
      </c>
      <c r="AN62" s="84">
        <f t="shared" si="63"/>
        <v>0</v>
      </c>
      <c r="AO62" s="84">
        <f t="shared" si="63"/>
        <v>0</v>
      </c>
      <c r="AP62" s="593"/>
      <c r="AQ62" s="332">
        <f t="shared" ref="AQ62:BC62" si="64">AQ15*AQ$50</f>
        <v>0</v>
      </c>
      <c r="AR62" s="332">
        <f t="shared" si="64"/>
        <v>0</v>
      </c>
      <c r="AS62" s="332">
        <f t="shared" si="64"/>
        <v>0</v>
      </c>
      <c r="AT62" s="332">
        <f t="shared" si="64"/>
        <v>0</v>
      </c>
      <c r="AU62" s="332">
        <f t="shared" si="64"/>
        <v>0</v>
      </c>
      <c r="AV62" s="332">
        <f t="shared" si="64"/>
        <v>0</v>
      </c>
      <c r="AW62" s="306">
        <f t="shared" si="64"/>
        <v>0</v>
      </c>
      <c r="AX62" s="306">
        <f t="shared" si="64"/>
        <v>0</v>
      </c>
      <c r="AY62" s="306">
        <f t="shared" si="64"/>
        <v>0</v>
      </c>
      <c r="AZ62" s="306">
        <f t="shared" si="64"/>
        <v>0</v>
      </c>
      <c r="BA62" s="306">
        <f t="shared" si="64"/>
        <v>0</v>
      </c>
      <c r="BB62" s="306">
        <f t="shared" si="64"/>
        <v>0</v>
      </c>
      <c r="BC62" s="306">
        <f t="shared" si="64"/>
        <v>0</v>
      </c>
      <c r="BD62" s="589"/>
      <c r="BE62" s="84">
        <f t="shared" ref="BE62:BH62" si="65">BE15*BE$50</f>
        <v>0</v>
      </c>
      <c r="BF62" s="84">
        <f t="shared" si="65"/>
        <v>0</v>
      </c>
      <c r="BG62" s="84">
        <f t="shared" si="65"/>
        <v>0</v>
      </c>
      <c r="BH62" s="84">
        <f t="shared" si="65"/>
        <v>0</v>
      </c>
      <c r="BI62" s="589"/>
      <c r="BJ62" s="84">
        <f t="shared" ref="BJ62:BW62" si="66">BJ15*BJ$50/60</f>
        <v>0</v>
      </c>
      <c r="BK62" s="84">
        <f t="shared" si="66"/>
        <v>0</v>
      </c>
      <c r="BL62" s="84">
        <f t="shared" si="66"/>
        <v>0</v>
      </c>
      <c r="BM62" s="84">
        <f t="shared" si="66"/>
        <v>0</v>
      </c>
      <c r="BN62" s="84">
        <f t="shared" si="66"/>
        <v>0</v>
      </c>
      <c r="BO62" s="84">
        <f t="shared" si="66"/>
        <v>0</v>
      </c>
      <c r="BP62" s="84">
        <f t="shared" si="66"/>
        <v>0</v>
      </c>
      <c r="BQ62" s="84">
        <f t="shared" si="66"/>
        <v>0</v>
      </c>
      <c r="BR62" s="84">
        <f t="shared" si="66"/>
        <v>0</v>
      </c>
      <c r="BS62" s="84">
        <f t="shared" si="66"/>
        <v>0</v>
      </c>
      <c r="BT62" s="84">
        <f t="shared" si="66"/>
        <v>0</v>
      </c>
      <c r="BU62" s="84">
        <f t="shared" si="66"/>
        <v>0</v>
      </c>
      <c r="BV62" s="84">
        <f t="shared" si="66"/>
        <v>0</v>
      </c>
      <c r="BW62" s="84">
        <f t="shared" si="66"/>
        <v>0</v>
      </c>
      <c r="BX62" s="595"/>
      <c r="BY62" s="100">
        <f t="shared" si="17"/>
        <v>0</v>
      </c>
      <c r="CC62" s="579"/>
      <c r="CD62" s="201"/>
      <c r="CE62" s="201"/>
      <c r="CF62" s="201"/>
    </row>
    <row r="63" spans="1:84" x14ac:dyDescent="0.25">
      <c r="A63" s="418">
        <f t="shared" ref="A63:A88" si="67">A16</f>
        <v>11</v>
      </c>
      <c r="B63" s="96" t="str">
        <f t="shared" si="54"/>
        <v>NV38</v>
      </c>
      <c r="C63" s="96" t="str">
        <f t="shared" si="54"/>
        <v>Nguyễn Văn Rắng</v>
      </c>
      <c r="D63" s="96" t="str">
        <f t="shared" si="54"/>
        <v xml:space="preserve">Công nhân </v>
      </c>
      <c r="E63" s="84">
        <f t="shared" ref="E63:T63" si="68">E16*E$50</f>
        <v>0</v>
      </c>
      <c r="F63" s="84">
        <f t="shared" si="68"/>
        <v>0</v>
      </c>
      <c r="G63" s="84">
        <f t="shared" si="68"/>
        <v>0</v>
      </c>
      <c r="H63" s="84">
        <f t="shared" si="68"/>
        <v>0</v>
      </c>
      <c r="I63" s="84">
        <f t="shared" si="68"/>
        <v>0</v>
      </c>
      <c r="J63" s="84">
        <f t="shared" si="68"/>
        <v>0</v>
      </c>
      <c r="K63" s="84">
        <f t="shared" si="68"/>
        <v>0</v>
      </c>
      <c r="L63" s="84">
        <f t="shared" si="68"/>
        <v>0</v>
      </c>
      <c r="M63" s="84">
        <f t="shared" si="68"/>
        <v>0</v>
      </c>
      <c r="N63" s="84">
        <f t="shared" si="68"/>
        <v>0</v>
      </c>
      <c r="O63" s="84">
        <f t="shared" si="68"/>
        <v>0</v>
      </c>
      <c r="P63" s="84">
        <f t="shared" si="68"/>
        <v>0</v>
      </c>
      <c r="Q63" s="84">
        <f t="shared" si="68"/>
        <v>0</v>
      </c>
      <c r="R63" s="84">
        <f t="shared" si="68"/>
        <v>0</v>
      </c>
      <c r="S63" s="84">
        <f t="shared" si="68"/>
        <v>0</v>
      </c>
      <c r="T63" s="84">
        <f t="shared" si="68"/>
        <v>0</v>
      </c>
      <c r="U63" s="589"/>
      <c r="V63" s="84">
        <f t="shared" ref="V63:AJ63" si="69">V16*V$50</f>
        <v>0</v>
      </c>
      <c r="W63" s="84">
        <f t="shared" si="69"/>
        <v>0</v>
      </c>
      <c r="X63" s="84">
        <f t="shared" si="69"/>
        <v>0</v>
      </c>
      <c r="Y63" s="84">
        <f t="shared" si="69"/>
        <v>0</v>
      </c>
      <c r="Z63" s="84">
        <f t="shared" si="69"/>
        <v>0</v>
      </c>
      <c r="AA63" s="84">
        <f t="shared" si="69"/>
        <v>0</v>
      </c>
      <c r="AB63" s="84">
        <f t="shared" si="69"/>
        <v>0</v>
      </c>
      <c r="AC63" s="84">
        <f t="shared" si="69"/>
        <v>0</v>
      </c>
      <c r="AD63" s="84">
        <f t="shared" si="69"/>
        <v>0</v>
      </c>
      <c r="AE63" s="84">
        <f t="shared" si="69"/>
        <v>0</v>
      </c>
      <c r="AF63" s="84">
        <f t="shared" si="69"/>
        <v>0</v>
      </c>
      <c r="AG63" s="84">
        <f t="shared" si="69"/>
        <v>0</v>
      </c>
      <c r="AH63" s="84">
        <f t="shared" si="69"/>
        <v>0</v>
      </c>
      <c r="AI63" s="84">
        <f t="shared" si="69"/>
        <v>0</v>
      </c>
      <c r="AJ63" s="84">
        <f t="shared" si="69"/>
        <v>0</v>
      </c>
      <c r="AK63" s="589"/>
      <c r="AL63" s="84">
        <f t="shared" ref="AL63:AO63" si="70">AL16*AL$50</f>
        <v>8137228.846153846</v>
      </c>
      <c r="AM63" s="84">
        <f t="shared" si="70"/>
        <v>1813084.6153846155</v>
      </c>
      <c r="AN63" s="84">
        <f t="shared" si="70"/>
        <v>0</v>
      </c>
      <c r="AO63" s="84">
        <f t="shared" si="70"/>
        <v>2393861.5384615385</v>
      </c>
      <c r="AP63" s="593"/>
      <c r="AQ63" s="332">
        <f t="shared" ref="AQ63:BC63" si="71">AQ16*AQ$50</f>
        <v>0</v>
      </c>
      <c r="AR63" s="332">
        <f t="shared" si="71"/>
        <v>0</v>
      </c>
      <c r="AS63" s="332">
        <f t="shared" si="71"/>
        <v>0</v>
      </c>
      <c r="AT63" s="332">
        <f t="shared" si="71"/>
        <v>0</v>
      </c>
      <c r="AU63" s="332">
        <f t="shared" si="71"/>
        <v>0</v>
      </c>
      <c r="AV63" s="332">
        <f t="shared" si="71"/>
        <v>0</v>
      </c>
      <c r="AW63" s="306">
        <f t="shared" si="71"/>
        <v>0</v>
      </c>
      <c r="AX63" s="306">
        <f t="shared" si="71"/>
        <v>0</v>
      </c>
      <c r="AY63" s="306">
        <f t="shared" si="71"/>
        <v>0</v>
      </c>
      <c r="AZ63" s="306">
        <f t="shared" si="71"/>
        <v>0</v>
      </c>
      <c r="BA63" s="306">
        <f t="shared" si="71"/>
        <v>0</v>
      </c>
      <c r="BB63" s="306">
        <f t="shared" si="71"/>
        <v>0</v>
      </c>
      <c r="BC63" s="306">
        <f t="shared" si="71"/>
        <v>0</v>
      </c>
      <c r="BD63" s="589"/>
      <c r="BE63" s="84">
        <f t="shared" ref="BE63:BH63" si="72">BE16*BE$50</f>
        <v>0</v>
      </c>
      <c r="BF63" s="84">
        <f t="shared" si="72"/>
        <v>0</v>
      </c>
      <c r="BG63" s="84">
        <f t="shared" si="72"/>
        <v>0</v>
      </c>
      <c r="BH63" s="84">
        <f t="shared" si="72"/>
        <v>0</v>
      </c>
      <c r="BI63" s="589"/>
      <c r="BJ63" s="84">
        <f t="shared" ref="BJ63:BW63" si="73">BJ16*BJ$50/60</f>
        <v>0</v>
      </c>
      <c r="BK63" s="84">
        <f t="shared" si="73"/>
        <v>173076.92307692306</v>
      </c>
      <c r="BL63" s="84">
        <f t="shared" si="73"/>
        <v>0</v>
      </c>
      <c r="BM63" s="84">
        <f t="shared" si="73"/>
        <v>0</v>
      </c>
      <c r="BN63" s="84">
        <f t="shared" si="73"/>
        <v>0</v>
      </c>
      <c r="BO63" s="84">
        <f t="shared" si="73"/>
        <v>0</v>
      </c>
      <c r="BP63" s="84">
        <f t="shared" si="73"/>
        <v>0</v>
      </c>
      <c r="BQ63" s="84">
        <f t="shared" si="73"/>
        <v>0</v>
      </c>
      <c r="BR63" s="84">
        <f t="shared" si="73"/>
        <v>0</v>
      </c>
      <c r="BS63" s="84">
        <f t="shared" si="73"/>
        <v>0</v>
      </c>
      <c r="BT63" s="84">
        <f t="shared" si="73"/>
        <v>48076.923076923078</v>
      </c>
      <c r="BU63" s="84">
        <f t="shared" si="73"/>
        <v>0</v>
      </c>
      <c r="BV63" s="84">
        <f t="shared" si="73"/>
        <v>0</v>
      </c>
      <c r="BW63" s="84">
        <f t="shared" si="73"/>
        <v>0</v>
      </c>
      <c r="BX63" s="595"/>
      <c r="BY63" s="100">
        <f t="shared" si="17"/>
        <v>12565328.846153848</v>
      </c>
    </row>
    <row r="64" spans="1:84" s="578" customFormat="1" ht="17.25" customHeight="1" x14ac:dyDescent="0.25">
      <c r="A64" s="418">
        <f t="shared" si="67"/>
        <v>13</v>
      </c>
      <c r="B64" s="96" t="str">
        <f t="shared" si="54"/>
        <v>NV13</v>
      </c>
      <c r="C64" s="96" t="str">
        <f t="shared" si="54"/>
        <v>Triệu Minh Tú</v>
      </c>
      <c r="D64" s="96" t="str">
        <f t="shared" si="54"/>
        <v>Lái xe cơ giới</v>
      </c>
      <c r="E64" s="84">
        <f t="shared" ref="E64:T64" si="74">E17*E$50</f>
        <v>0</v>
      </c>
      <c r="F64" s="84">
        <f t="shared" si="74"/>
        <v>0</v>
      </c>
      <c r="G64" s="84">
        <f t="shared" si="74"/>
        <v>0</v>
      </c>
      <c r="H64" s="84">
        <f t="shared" si="74"/>
        <v>0</v>
      </c>
      <c r="I64" s="84">
        <f t="shared" si="74"/>
        <v>0</v>
      </c>
      <c r="J64" s="84">
        <f t="shared" si="74"/>
        <v>0</v>
      </c>
      <c r="K64" s="84">
        <f t="shared" si="74"/>
        <v>0</v>
      </c>
      <c r="L64" s="84">
        <f t="shared" si="74"/>
        <v>0</v>
      </c>
      <c r="M64" s="84">
        <f t="shared" si="74"/>
        <v>0</v>
      </c>
      <c r="N64" s="84">
        <f t="shared" si="74"/>
        <v>0</v>
      </c>
      <c r="O64" s="84">
        <f t="shared" si="74"/>
        <v>0</v>
      </c>
      <c r="P64" s="84">
        <f t="shared" si="74"/>
        <v>0</v>
      </c>
      <c r="Q64" s="84">
        <f t="shared" si="74"/>
        <v>0</v>
      </c>
      <c r="R64" s="84">
        <f t="shared" si="74"/>
        <v>0</v>
      </c>
      <c r="S64" s="84">
        <f t="shared" si="74"/>
        <v>0</v>
      </c>
      <c r="T64" s="84">
        <f t="shared" si="74"/>
        <v>0</v>
      </c>
      <c r="U64" s="589"/>
      <c r="V64" s="84">
        <f t="shared" ref="V64:AJ64" si="75">V17*V$50</f>
        <v>0</v>
      </c>
      <c r="W64" s="84">
        <f t="shared" si="75"/>
        <v>0</v>
      </c>
      <c r="X64" s="84">
        <f t="shared" si="75"/>
        <v>0</v>
      </c>
      <c r="Y64" s="84">
        <f t="shared" si="75"/>
        <v>0</v>
      </c>
      <c r="Z64" s="84">
        <f t="shared" si="75"/>
        <v>0</v>
      </c>
      <c r="AA64" s="84">
        <f t="shared" si="75"/>
        <v>0</v>
      </c>
      <c r="AB64" s="84">
        <f t="shared" si="75"/>
        <v>0</v>
      </c>
      <c r="AC64" s="84">
        <f t="shared" si="75"/>
        <v>0</v>
      </c>
      <c r="AD64" s="84">
        <f t="shared" si="75"/>
        <v>0</v>
      </c>
      <c r="AE64" s="84">
        <f t="shared" si="75"/>
        <v>0</v>
      </c>
      <c r="AF64" s="84">
        <f t="shared" si="75"/>
        <v>0</v>
      </c>
      <c r="AG64" s="84">
        <f t="shared" si="75"/>
        <v>0</v>
      </c>
      <c r="AH64" s="84">
        <f t="shared" si="75"/>
        <v>0</v>
      </c>
      <c r="AI64" s="84">
        <f t="shared" si="75"/>
        <v>0</v>
      </c>
      <c r="AJ64" s="84">
        <f t="shared" si="75"/>
        <v>0</v>
      </c>
      <c r="AK64" s="589"/>
      <c r="AL64" s="84">
        <f t="shared" ref="AL64:AO64" si="76">AL17*AL$50</f>
        <v>0</v>
      </c>
      <c r="AM64" s="84">
        <f t="shared" si="76"/>
        <v>0</v>
      </c>
      <c r="AN64" s="84">
        <f t="shared" si="76"/>
        <v>0</v>
      </c>
      <c r="AO64" s="84">
        <f t="shared" si="76"/>
        <v>0</v>
      </c>
      <c r="AP64" s="593"/>
      <c r="AQ64" s="332">
        <f t="shared" ref="AQ64:BC64" si="77">AQ17*AQ$50</f>
        <v>0</v>
      </c>
      <c r="AR64" s="332">
        <f t="shared" si="77"/>
        <v>0</v>
      </c>
      <c r="AS64" s="332">
        <f t="shared" si="77"/>
        <v>0</v>
      </c>
      <c r="AT64" s="332">
        <f t="shared" si="77"/>
        <v>708006.27943485079</v>
      </c>
      <c r="AU64" s="332">
        <f t="shared" si="77"/>
        <v>0</v>
      </c>
      <c r="AV64" s="332">
        <f t="shared" si="77"/>
        <v>0</v>
      </c>
      <c r="AW64" s="306">
        <f t="shared" si="77"/>
        <v>0</v>
      </c>
      <c r="AX64" s="306">
        <f t="shared" si="77"/>
        <v>4679670.3296703296</v>
      </c>
      <c r="AY64" s="306">
        <f t="shared" si="77"/>
        <v>0</v>
      </c>
      <c r="AZ64" s="306">
        <f t="shared" si="77"/>
        <v>0</v>
      </c>
      <c r="BA64" s="306">
        <f t="shared" si="77"/>
        <v>0</v>
      </c>
      <c r="BB64" s="306">
        <f t="shared" si="77"/>
        <v>0</v>
      </c>
      <c r="BC64" s="306">
        <f t="shared" si="77"/>
        <v>0</v>
      </c>
      <c r="BD64" s="589"/>
      <c r="BE64" s="84">
        <f t="shared" ref="BE64:BH64" si="78">BE17*BE$50</f>
        <v>0</v>
      </c>
      <c r="BF64" s="84">
        <f t="shared" si="78"/>
        <v>0</v>
      </c>
      <c r="BG64" s="84">
        <f t="shared" si="78"/>
        <v>0</v>
      </c>
      <c r="BH64" s="84">
        <f t="shared" si="78"/>
        <v>0</v>
      </c>
      <c r="BI64" s="589"/>
      <c r="BJ64" s="84">
        <f t="shared" ref="BJ64:BW64" si="79">BJ17*BJ$50/60</f>
        <v>0</v>
      </c>
      <c r="BK64" s="84">
        <f t="shared" si="79"/>
        <v>0</v>
      </c>
      <c r="BL64" s="84">
        <f t="shared" si="79"/>
        <v>0</v>
      </c>
      <c r="BM64" s="84">
        <f t="shared" si="79"/>
        <v>0</v>
      </c>
      <c r="BN64" s="84">
        <f t="shared" si="79"/>
        <v>0</v>
      </c>
      <c r="BO64" s="84">
        <f t="shared" si="79"/>
        <v>0</v>
      </c>
      <c r="BP64" s="84">
        <f t="shared" si="79"/>
        <v>0</v>
      </c>
      <c r="BQ64" s="84">
        <f t="shared" si="79"/>
        <v>0</v>
      </c>
      <c r="BR64" s="84">
        <f t="shared" si="79"/>
        <v>0</v>
      </c>
      <c r="BS64" s="84">
        <f t="shared" si="79"/>
        <v>0</v>
      </c>
      <c r="BT64" s="84">
        <f t="shared" si="79"/>
        <v>0</v>
      </c>
      <c r="BU64" s="84">
        <f t="shared" si="79"/>
        <v>0</v>
      </c>
      <c r="BV64" s="84">
        <f>BV17*BV$50/60</f>
        <v>383653.84615384613</v>
      </c>
      <c r="BW64" s="84">
        <f t="shared" si="79"/>
        <v>0</v>
      </c>
      <c r="BX64" s="595"/>
      <c r="BY64" s="100">
        <f t="shared" si="17"/>
        <v>5771330.455259026</v>
      </c>
      <c r="CC64" s="579"/>
    </row>
    <row r="65" spans="1:81" s="107" customFormat="1" ht="17.25" customHeight="1" x14ac:dyDescent="0.25">
      <c r="A65" s="418">
        <f t="shared" si="67"/>
        <v>14</v>
      </c>
      <c r="B65" s="96" t="str">
        <f t="shared" si="54"/>
        <v>NV14</v>
      </c>
      <c r="C65" s="96" t="str">
        <f t="shared" si="54"/>
        <v>Nguyễn Văn Chạy</v>
      </c>
      <c r="D65" s="96" t="str">
        <f t="shared" si="54"/>
        <v>Lái xe cơ giới</v>
      </c>
      <c r="E65" s="84">
        <f t="shared" ref="E65:T65" si="80">E18*E$50</f>
        <v>0</v>
      </c>
      <c r="F65" s="84">
        <f t="shared" si="80"/>
        <v>0</v>
      </c>
      <c r="G65" s="84">
        <f t="shared" si="80"/>
        <v>0</v>
      </c>
      <c r="H65" s="84">
        <f t="shared" si="80"/>
        <v>0</v>
      </c>
      <c r="I65" s="84">
        <f t="shared" si="80"/>
        <v>0</v>
      </c>
      <c r="J65" s="84">
        <f t="shared" si="80"/>
        <v>0</v>
      </c>
      <c r="K65" s="84">
        <f t="shared" si="80"/>
        <v>0</v>
      </c>
      <c r="L65" s="84">
        <f t="shared" si="80"/>
        <v>0</v>
      </c>
      <c r="M65" s="84">
        <f t="shared" si="80"/>
        <v>0</v>
      </c>
      <c r="N65" s="84">
        <f t="shared" si="80"/>
        <v>0</v>
      </c>
      <c r="O65" s="84">
        <f t="shared" si="80"/>
        <v>0</v>
      </c>
      <c r="P65" s="84">
        <f t="shared" si="80"/>
        <v>0</v>
      </c>
      <c r="Q65" s="84">
        <f t="shared" si="80"/>
        <v>0</v>
      </c>
      <c r="R65" s="84">
        <f t="shared" si="80"/>
        <v>0</v>
      </c>
      <c r="S65" s="84">
        <f t="shared" si="80"/>
        <v>0</v>
      </c>
      <c r="T65" s="84">
        <f t="shared" si="80"/>
        <v>0</v>
      </c>
      <c r="U65" s="589"/>
      <c r="V65" s="84">
        <f t="shared" ref="V65:AJ65" si="81">V18*V$50</f>
        <v>0</v>
      </c>
      <c r="W65" s="84">
        <f t="shared" si="81"/>
        <v>0</v>
      </c>
      <c r="X65" s="84">
        <f t="shared" si="81"/>
        <v>0</v>
      </c>
      <c r="Y65" s="84">
        <f t="shared" si="81"/>
        <v>0</v>
      </c>
      <c r="Z65" s="84">
        <f t="shared" si="81"/>
        <v>0</v>
      </c>
      <c r="AA65" s="84">
        <f t="shared" si="81"/>
        <v>0</v>
      </c>
      <c r="AB65" s="84">
        <f t="shared" si="81"/>
        <v>0</v>
      </c>
      <c r="AC65" s="84">
        <f t="shared" si="81"/>
        <v>0</v>
      </c>
      <c r="AD65" s="84">
        <f t="shared" si="81"/>
        <v>0</v>
      </c>
      <c r="AE65" s="84">
        <f t="shared" si="81"/>
        <v>0</v>
      </c>
      <c r="AF65" s="84">
        <f t="shared" si="81"/>
        <v>0</v>
      </c>
      <c r="AG65" s="84">
        <f t="shared" si="81"/>
        <v>0</v>
      </c>
      <c r="AH65" s="84">
        <f t="shared" si="81"/>
        <v>0</v>
      </c>
      <c r="AI65" s="84">
        <f t="shared" si="81"/>
        <v>0</v>
      </c>
      <c r="AJ65" s="84">
        <f t="shared" si="81"/>
        <v>0</v>
      </c>
      <c r="AK65" s="589"/>
      <c r="AL65" s="84">
        <f t="shared" ref="AL65:AO65" si="82">AL18*AL$50</f>
        <v>0</v>
      </c>
      <c r="AM65" s="84">
        <f t="shared" si="82"/>
        <v>0</v>
      </c>
      <c r="AN65" s="84">
        <f t="shared" si="82"/>
        <v>0</v>
      </c>
      <c r="AO65" s="84">
        <f t="shared" si="82"/>
        <v>0</v>
      </c>
      <c r="AP65" s="593"/>
      <c r="AQ65" s="332">
        <f t="shared" ref="AQ65:BC65" si="83">AQ18*AQ$50</f>
        <v>0</v>
      </c>
      <c r="AR65" s="332">
        <f t="shared" si="83"/>
        <v>0</v>
      </c>
      <c r="AS65" s="332">
        <f t="shared" si="83"/>
        <v>0</v>
      </c>
      <c r="AT65" s="332">
        <f t="shared" si="83"/>
        <v>0</v>
      </c>
      <c r="AU65" s="332">
        <f t="shared" si="83"/>
        <v>0</v>
      </c>
      <c r="AV65" s="332">
        <f t="shared" si="83"/>
        <v>0</v>
      </c>
      <c r="AW65" s="306">
        <f t="shared" si="83"/>
        <v>7627227.6295133447</v>
      </c>
      <c r="AX65" s="306">
        <f t="shared" si="83"/>
        <v>0</v>
      </c>
      <c r="AY65" s="306">
        <f t="shared" si="83"/>
        <v>0</v>
      </c>
      <c r="AZ65" s="306">
        <f t="shared" si="83"/>
        <v>0</v>
      </c>
      <c r="BA65" s="306">
        <f t="shared" si="83"/>
        <v>0</v>
      </c>
      <c r="BB65" s="306">
        <f t="shared" si="83"/>
        <v>0</v>
      </c>
      <c r="BC65" s="306">
        <f t="shared" si="83"/>
        <v>0</v>
      </c>
      <c r="BD65" s="589"/>
      <c r="BE65" s="84">
        <f t="shared" ref="BE65:BH65" si="84">BE18*BE$50</f>
        <v>0</v>
      </c>
      <c r="BF65" s="84">
        <f t="shared" si="84"/>
        <v>0</v>
      </c>
      <c r="BG65" s="84">
        <f t="shared" si="84"/>
        <v>0</v>
      </c>
      <c r="BH65" s="84">
        <f t="shared" si="84"/>
        <v>0</v>
      </c>
      <c r="BI65" s="589"/>
      <c r="BJ65" s="84">
        <f t="shared" ref="BJ65:BW65" si="85">BJ18*BJ$50/60</f>
        <v>0</v>
      </c>
      <c r="BK65" s="84">
        <f t="shared" si="85"/>
        <v>0</v>
      </c>
      <c r="BL65" s="84">
        <f t="shared" si="85"/>
        <v>0</v>
      </c>
      <c r="BM65" s="84">
        <f t="shared" si="85"/>
        <v>0</v>
      </c>
      <c r="BN65" s="84">
        <f t="shared" si="85"/>
        <v>0</v>
      </c>
      <c r="BO65" s="84">
        <f t="shared" si="85"/>
        <v>0</v>
      </c>
      <c r="BP65" s="84">
        <f t="shared" si="85"/>
        <v>0</v>
      </c>
      <c r="BQ65" s="84">
        <f t="shared" si="85"/>
        <v>0</v>
      </c>
      <c r="BR65" s="84">
        <f t="shared" si="85"/>
        <v>0</v>
      </c>
      <c r="BS65" s="84">
        <f t="shared" si="85"/>
        <v>0</v>
      </c>
      <c r="BT65" s="84">
        <f t="shared" si="85"/>
        <v>0</v>
      </c>
      <c r="BU65" s="84">
        <f t="shared" si="85"/>
        <v>0</v>
      </c>
      <c r="BV65" s="84">
        <f t="shared" si="85"/>
        <v>0</v>
      </c>
      <c r="BW65" s="84">
        <f t="shared" si="85"/>
        <v>0</v>
      </c>
      <c r="BX65" s="595"/>
      <c r="BY65" s="100">
        <f t="shared" si="17"/>
        <v>7627227.6295133447</v>
      </c>
      <c r="CC65" s="108"/>
    </row>
    <row r="66" spans="1:81" s="578" customFormat="1" ht="17.25" customHeight="1" x14ac:dyDescent="0.25">
      <c r="A66" s="418">
        <f t="shared" si="67"/>
        <v>15</v>
      </c>
      <c r="B66" s="96" t="str">
        <f t="shared" si="54"/>
        <v>NV15</v>
      </c>
      <c r="C66" s="96" t="str">
        <f t="shared" si="54"/>
        <v>Hà Hoàng Hùng</v>
      </c>
      <c r="D66" s="96" t="str">
        <f t="shared" si="54"/>
        <v>Lái xe cơ giới</v>
      </c>
      <c r="E66" s="84">
        <f t="shared" ref="E66:T66" si="86">E19*E$50</f>
        <v>0</v>
      </c>
      <c r="F66" s="84">
        <f t="shared" si="86"/>
        <v>0</v>
      </c>
      <c r="G66" s="84">
        <f t="shared" si="86"/>
        <v>0</v>
      </c>
      <c r="H66" s="84">
        <f t="shared" si="86"/>
        <v>0</v>
      </c>
      <c r="I66" s="84">
        <f t="shared" si="86"/>
        <v>0</v>
      </c>
      <c r="J66" s="84">
        <f t="shared" si="86"/>
        <v>0</v>
      </c>
      <c r="K66" s="84">
        <f t="shared" si="86"/>
        <v>0</v>
      </c>
      <c r="L66" s="84">
        <f t="shared" si="86"/>
        <v>0</v>
      </c>
      <c r="M66" s="84">
        <f t="shared" si="86"/>
        <v>0</v>
      </c>
      <c r="N66" s="84">
        <f t="shared" si="86"/>
        <v>0</v>
      </c>
      <c r="O66" s="84">
        <f t="shared" si="86"/>
        <v>0</v>
      </c>
      <c r="P66" s="84">
        <f t="shared" si="86"/>
        <v>0</v>
      </c>
      <c r="Q66" s="84">
        <f t="shared" si="86"/>
        <v>0</v>
      </c>
      <c r="R66" s="84">
        <f t="shared" si="86"/>
        <v>0</v>
      </c>
      <c r="S66" s="84">
        <f t="shared" si="86"/>
        <v>0</v>
      </c>
      <c r="T66" s="84">
        <f t="shared" si="86"/>
        <v>0</v>
      </c>
      <c r="U66" s="589"/>
      <c r="V66" s="84">
        <f t="shared" ref="V66:AJ66" si="87">V19*V$50</f>
        <v>0</v>
      </c>
      <c r="W66" s="84">
        <f t="shared" si="87"/>
        <v>0</v>
      </c>
      <c r="X66" s="84">
        <f t="shared" si="87"/>
        <v>0</v>
      </c>
      <c r="Y66" s="84">
        <f t="shared" si="87"/>
        <v>0</v>
      </c>
      <c r="Z66" s="84">
        <f t="shared" si="87"/>
        <v>0</v>
      </c>
      <c r="AA66" s="84">
        <f t="shared" si="87"/>
        <v>0</v>
      </c>
      <c r="AB66" s="84">
        <f t="shared" si="87"/>
        <v>0</v>
      </c>
      <c r="AC66" s="84">
        <f t="shared" si="87"/>
        <v>0</v>
      </c>
      <c r="AD66" s="84">
        <f t="shared" si="87"/>
        <v>0</v>
      </c>
      <c r="AE66" s="84">
        <f t="shared" si="87"/>
        <v>0</v>
      </c>
      <c r="AF66" s="84">
        <f t="shared" si="87"/>
        <v>0</v>
      </c>
      <c r="AG66" s="84">
        <f t="shared" si="87"/>
        <v>0</v>
      </c>
      <c r="AH66" s="84">
        <f t="shared" si="87"/>
        <v>0</v>
      </c>
      <c r="AI66" s="84">
        <f t="shared" si="87"/>
        <v>0</v>
      </c>
      <c r="AJ66" s="84">
        <f t="shared" si="87"/>
        <v>0</v>
      </c>
      <c r="AK66" s="589"/>
      <c r="AL66" s="84">
        <f t="shared" ref="AL66:AO66" si="88">AL19*AL$50</f>
        <v>0</v>
      </c>
      <c r="AM66" s="84">
        <f t="shared" si="88"/>
        <v>0</v>
      </c>
      <c r="AN66" s="84">
        <f t="shared" si="88"/>
        <v>0</v>
      </c>
      <c r="AO66" s="84">
        <f t="shared" si="88"/>
        <v>0</v>
      </c>
      <c r="AP66" s="593"/>
      <c r="AQ66" s="332">
        <f t="shared" ref="AQ66:BC66" si="89">AQ19*AQ$50</f>
        <v>0</v>
      </c>
      <c r="AR66" s="332">
        <f t="shared" si="89"/>
        <v>0</v>
      </c>
      <c r="AS66" s="332">
        <f t="shared" si="89"/>
        <v>0</v>
      </c>
      <c r="AT66" s="332">
        <f t="shared" si="89"/>
        <v>0</v>
      </c>
      <c r="AU66" s="332">
        <f t="shared" si="89"/>
        <v>0</v>
      </c>
      <c r="AV66" s="332">
        <f t="shared" si="89"/>
        <v>0</v>
      </c>
      <c r="AW66" s="306">
        <f t="shared" si="89"/>
        <v>0</v>
      </c>
      <c r="AX66" s="306">
        <f t="shared" si="89"/>
        <v>0</v>
      </c>
      <c r="AY66" s="306">
        <f t="shared" si="89"/>
        <v>5924558.8697017273</v>
      </c>
      <c r="AZ66" s="306">
        <f t="shared" si="89"/>
        <v>0</v>
      </c>
      <c r="BA66" s="306">
        <f t="shared" si="89"/>
        <v>0</v>
      </c>
      <c r="BB66" s="306">
        <f t="shared" si="89"/>
        <v>0</v>
      </c>
      <c r="BC66" s="306">
        <f t="shared" si="89"/>
        <v>0</v>
      </c>
      <c r="BD66" s="589"/>
      <c r="BE66" s="84">
        <f t="shared" ref="BE66:BH66" si="90">BE19*BE$50</f>
        <v>0</v>
      </c>
      <c r="BF66" s="84">
        <f t="shared" si="90"/>
        <v>0</v>
      </c>
      <c r="BG66" s="84">
        <f t="shared" si="90"/>
        <v>0</v>
      </c>
      <c r="BH66" s="84">
        <f t="shared" si="90"/>
        <v>0</v>
      </c>
      <c r="BI66" s="589"/>
      <c r="BJ66" s="84">
        <f t="shared" ref="BJ66:BW66" si="91">BJ19*BJ$50/60</f>
        <v>0</v>
      </c>
      <c r="BK66" s="84">
        <f t="shared" si="91"/>
        <v>0</v>
      </c>
      <c r="BL66" s="84">
        <f t="shared" si="91"/>
        <v>0</v>
      </c>
      <c r="BM66" s="84">
        <f t="shared" si="91"/>
        <v>0</v>
      </c>
      <c r="BN66" s="84">
        <f t="shared" si="91"/>
        <v>0</v>
      </c>
      <c r="BO66" s="84">
        <f t="shared" si="91"/>
        <v>0</v>
      </c>
      <c r="BP66" s="84">
        <f t="shared" si="91"/>
        <v>0</v>
      </c>
      <c r="BQ66" s="84">
        <f t="shared" si="91"/>
        <v>0</v>
      </c>
      <c r="BR66" s="84">
        <f t="shared" si="91"/>
        <v>0</v>
      </c>
      <c r="BS66" s="84">
        <f t="shared" si="91"/>
        <v>0</v>
      </c>
      <c r="BT66" s="84">
        <f t="shared" si="91"/>
        <v>0</v>
      </c>
      <c r="BU66" s="84">
        <f t="shared" si="91"/>
        <v>0</v>
      </c>
      <c r="BV66" s="84">
        <f t="shared" si="91"/>
        <v>0</v>
      </c>
      <c r="BW66" s="84">
        <f t="shared" si="91"/>
        <v>0</v>
      </c>
      <c r="BX66" s="595"/>
      <c r="BY66" s="100">
        <f t="shared" si="17"/>
        <v>5924558.8697017273</v>
      </c>
      <c r="CC66" s="579"/>
    </row>
    <row r="67" spans="1:81" s="578" customFormat="1" ht="17.25" customHeight="1" x14ac:dyDescent="0.25">
      <c r="A67" s="418">
        <f t="shared" si="67"/>
        <v>16</v>
      </c>
      <c r="B67" s="96" t="str">
        <f t="shared" si="54"/>
        <v>NV16</v>
      </c>
      <c r="C67" s="96" t="str">
        <f t="shared" si="54"/>
        <v>Châu Thành Nhân</v>
      </c>
      <c r="D67" s="96" t="str">
        <f t="shared" si="54"/>
        <v>Lái xe cơ giới</v>
      </c>
      <c r="E67" s="84">
        <f t="shared" ref="E67:T67" si="92">E20*E$50</f>
        <v>0</v>
      </c>
      <c r="F67" s="84">
        <f t="shared" si="92"/>
        <v>0</v>
      </c>
      <c r="G67" s="84">
        <f t="shared" si="92"/>
        <v>0</v>
      </c>
      <c r="H67" s="84">
        <f t="shared" si="92"/>
        <v>0</v>
      </c>
      <c r="I67" s="84">
        <f t="shared" si="92"/>
        <v>0</v>
      </c>
      <c r="J67" s="84">
        <f t="shared" si="92"/>
        <v>0</v>
      </c>
      <c r="K67" s="84">
        <f t="shared" si="92"/>
        <v>0</v>
      </c>
      <c r="L67" s="84">
        <f t="shared" si="92"/>
        <v>0</v>
      </c>
      <c r="M67" s="84">
        <f t="shared" si="92"/>
        <v>0</v>
      </c>
      <c r="N67" s="84">
        <f t="shared" si="92"/>
        <v>0</v>
      </c>
      <c r="O67" s="84">
        <f t="shared" si="92"/>
        <v>0</v>
      </c>
      <c r="P67" s="84">
        <f t="shared" si="92"/>
        <v>0</v>
      </c>
      <c r="Q67" s="84">
        <f t="shared" si="92"/>
        <v>0</v>
      </c>
      <c r="R67" s="84">
        <f t="shared" si="92"/>
        <v>0</v>
      </c>
      <c r="S67" s="84">
        <f t="shared" si="92"/>
        <v>0</v>
      </c>
      <c r="T67" s="84">
        <f t="shared" si="92"/>
        <v>0</v>
      </c>
      <c r="U67" s="589"/>
      <c r="V67" s="84">
        <f t="shared" ref="V67:AJ67" si="93">V20*V$50</f>
        <v>0</v>
      </c>
      <c r="W67" s="84">
        <f t="shared" si="93"/>
        <v>0</v>
      </c>
      <c r="X67" s="84">
        <f t="shared" si="93"/>
        <v>0</v>
      </c>
      <c r="Y67" s="84">
        <f t="shared" si="93"/>
        <v>0</v>
      </c>
      <c r="Z67" s="84">
        <f t="shared" si="93"/>
        <v>0</v>
      </c>
      <c r="AA67" s="84">
        <f t="shared" si="93"/>
        <v>0</v>
      </c>
      <c r="AB67" s="84">
        <f t="shared" si="93"/>
        <v>0</v>
      </c>
      <c r="AC67" s="84">
        <f t="shared" si="93"/>
        <v>0</v>
      </c>
      <c r="AD67" s="84">
        <f t="shared" si="93"/>
        <v>0</v>
      </c>
      <c r="AE67" s="84">
        <f t="shared" si="93"/>
        <v>0</v>
      </c>
      <c r="AF67" s="84">
        <f t="shared" si="93"/>
        <v>0</v>
      </c>
      <c r="AG67" s="84">
        <f t="shared" si="93"/>
        <v>0</v>
      </c>
      <c r="AH67" s="84">
        <f t="shared" si="93"/>
        <v>0</v>
      </c>
      <c r="AI67" s="84">
        <f t="shared" si="93"/>
        <v>0</v>
      </c>
      <c r="AJ67" s="84">
        <f t="shared" si="93"/>
        <v>0</v>
      </c>
      <c r="AK67" s="589"/>
      <c r="AL67" s="84">
        <f t="shared" ref="AL67:AO67" si="94">AL20*AL$50</f>
        <v>0</v>
      </c>
      <c r="AM67" s="84">
        <f t="shared" si="94"/>
        <v>0</v>
      </c>
      <c r="AN67" s="84">
        <f t="shared" si="94"/>
        <v>0</v>
      </c>
      <c r="AO67" s="84">
        <f t="shared" si="94"/>
        <v>0</v>
      </c>
      <c r="AP67" s="593"/>
      <c r="AQ67" s="332">
        <f t="shared" ref="AQ67:BC67" si="95">AQ20*AQ$50</f>
        <v>0</v>
      </c>
      <c r="AR67" s="332">
        <f t="shared" si="95"/>
        <v>0</v>
      </c>
      <c r="AS67" s="332">
        <f t="shared" si="95"/>
        <v>0</v>
      </c>
      <c r="AT67" s="332">
        <f t="shared" si="95"/>
        <v>0</v>
      </c>
      <c r="AU67" s="332">
        <f t="shared" si="95"/>
        <v>0</v>
      </c>
      <c r="AV67" s="332">
        <f t="shared" si="95"/>
        <v>0</v>
      </c>
      <c r="AW67" s="306">
        <f t="shared" si="95"/>
        <v>0</v>
      </c>
      <c r="AX67" s="306">
        <f t="shared" si="95"/>
        <v>0</v>
      </c>
      <c r="AY67" s="306">
        <f t="shared" si="95"/>
        <v>0</v>
      </c>
      <c r="AZ67" s="306">
        <f t="shared" si="95"/>
        <v>10049205.651491368</v>
      </c>
      <c r="BA67" s="306">
        <f t="shared" si="95"/>
        <v>0</v>
      </c>
      <c r="BB67" s="306">
        <f t="shared" si="95"/>
        <v>0</v>
      </c>
      <c r="BC67" s="306">
        <f t="shared" si="95"/>
        <v>0</v>
      </c>
      <c r="BD67" s="589"/>
      <c r="BE67" s="84">
        <f t="shared" ref="BE67:BH67" si="96">BE20*BE$50</f>
        <v>0</v>
      </c>
      <c r="BF67" s="84">
        <f t="shared" si="96"/>
        <v>0</v>
      </c>
      <c r="BG67" s="84">
        <f t="shared" si="96"/>
        <v>0</v>
      </c>
      <c r="BH67" s="84">
        <f t="shared" si="96"/>
        <v>0</v>
      </c>
      <c r="BI67" s="589"/>
      <c r="BJ67" s="84">
        <f t="shared" ref="BJ67:BW67" si="97">BJ20*BJ$50/60</f>
        <v>0</v>
      </c>
      <c r="BK67" s="84">
        <f t="shared" si="97"/>
        <v>0</v>
      </c>
      <c r="BL67" s="84">
        <f t="shared" si="97"/>
        <v>0</v>
      </c>
      <c r="BM67" s="84">
        <f t="shared" si="97"/>
        <v>0</v>
      </c>
      <c r="BN67" s="84">
        <f t="shared" si="97"/>
        <v>0</v>
      </c>
      <c r="BO67" s="84">
        <f t="shared" si="97"/>
        <v>0</v>
      </c>
      <c r="BP67" s="84">
        <f t="shared" si="97"/>
        <v>0</v>
      </c>
      <c r="BQ67" s="84">
        <f t="shared" si="97"/>
        <v>0</v>
      </c>
      <c r="BR67" s="84">
        <f t="shared" si="97"/>
        <v>0</v>
      </c>
      <c r="BS67" s="84">
        <f t="shared" si="97"/>
        <v>0</v>
      </c>
      <c r="BT67" s="84">
        <f t="shared" si="97"/>
        <v>0</v>
      </c>
      <c r="BU67" s="84">
        <f t="shared" si="97"/>
        <v>0</v>
      </c>
      <c r="BV67" s="84">
        <f t="shared" si="97"/>
        <v>0</v>
      </c>
      <c r="BW67" s="84">
        <f t="shared" si="97"/>
        <v>0</v>
      </c>
      <c r="BX67" s="595"/>
      <c r="BY67" s="100">
        <f t="shared" si="17"/>
        <v>10049205.651491368</v>
      </c>
      <c r="CC67" s="579"/>
    </row>
    <row r="68" spans="1:81" x14ac:dyDescent="0.25">
      <c r="A68" s="418">
        <f t="shared" si="67"/>
        <v>17</v>
      </c>
      <c r="B68" s="96" t="str">
        <f t="shared" si="54"/>
        <v>NV18</v>
      </c>
      <c r="C68" s="96" t="str">
        <f t="shared" si="54"/>
        <v>Châu Văn Phước</v>
      </c>
      <c r="D68" s="96" t="str">
        <f t="shared" si="54"/>
        <v>Lái xe cơ giới</v>
      </c>
      <c r="E68" s="84">
        <f t="shared" ref="E68:T68" si="98">E21*E$50</f>
        <v>0</v>
      </c>
      <c r="F68" s="84">
        <f t="shared" si="98"/>
        <v>0</v>
      </c>
      <c r="G68" s="84">
        <f t="shared" si="98"/>
        <v>0</v>
      </c>
      <c r="H68" s="84">
        <f t="shared" si="98"/>
        <v>0</v>
      </c>
      <c r="I68" s="84">
        <f t="shared" si="98"/>
        <v>0</v>
      </c>
      <c r="J68" s="84">
        <f t="shared" si="98"/>
        <v>0</v>
      </c>
      <c r="K68" s="84">
        <f t="shared" si="98"/>
        <v>0</v>
      </c>
      <c r="L68" s="84">
        <f t="shared" si="98"/>
        <v>0</v>
      </c>
      <c r="M68" s="84">
        <f t="shared" si="98"/>
        <v>0</v>
      </c>
      <c r="N68" s="84">
        <f t="shared" si="98"/>
        <v>0</v>
      </c>
      <c r="O68" s="84">
        <f t="shared" si="98"/>
        <v>0</v>
      </c>
      <c r="P68" s="84">
        <f t="shared" si="98"/>
        <v>0</v>
      </c>
      <c r="Q68" s="84">
        <f t="shared" si="98"/>
        <v>0</v>
      </c>
      <c r="R68" s="84">
        <f t="shared" si="98"/>
        <v>0</v>
      </c>
      <c r="S68" s="84">
        <f t="shared" si="98"/>
        <v>0</v>
      </c>
      <c r="T68" s="84">
        <f t="shared" si="98"/>
        <v>0</v>
      </c>
      <c r="U68" s="589"/>
      <c r="V68" s="84">
        <f t="shared" ref="V68:AJ68" si="99">V21*V$50</f>
        <v>0</v>
      </c>
      <c r="W68" s="84">
        <f t="shared" si="99"/>
        <v>0</v>
      </c>
      <c r="X68" s="84">
        <f t="shared" si="99"/>
        <v>0</v>
      </c>
      <c r="Y68" s="84">
        <f t="shared" si="99"/>
        <v>0</v>
      </c>
      <c r="Z68" s="84">
        <f t="shared" si="99"/>
        <v>0</v>
      </c>
      <c r="AA68" s="84">
        <f t="shared" si="99"/>
        <v>0</v>
      </c>
      <c r="AB68" s="84">
        <f t="shared" si="99"/>
        <v>0</v>
      </c>
      <c r="AC68" s="84">
        <f t="shared" si="99"/>
        <v>0</v>
      </c>
      <c r="AD68" s="84">
        <f t="shared" si="99"/>
        <v>0</v>
      </c>
      <c r="AE68" s="84">
        <f t="shared" si="99"/>
        <v>0</v>
      </c>
      <c r="AF68" s="84">
        <f t="shared" si="99"/>
        <v>0</v>
      </c>
      <c r="AG68" s="84">
        <f t="shared" si="99"/>
        <v>0</v>
      </c>
      <c r="AH68" s="84">
        <f t="shared" si="99"/>
        <v>0</v>
      </c>
      <c r="AI68" s="84">
        <f t="shared" si="99"/>
        <v>0</v>
      </c>
      <c r="AJ68" s="84">
        <f t="shared" si="99"/>
        <v>0</v>
      </c>
      <c r="AK68" s="589"/>
      <c r="AL68" s="84">
        <f t="shared" ref="AL68:AO68" si="100">AL21*AL$50</f>
        <v>0</v>
      </c>
      <c r="AM68" s="84">
        <f t="shared" si="100"/>
        <v>0</v>
      </c>
      <c r="AN68" s="84">
        <f t="shared" si="100"/>
        <v>0</v>
      </c>
      <c r="AO68" s="84">
        <f t="shared" si="100"/>
        <v>0</v>
      </c>
      <c r="AP68" s="593"/>
      <c r="AQ68" s="332">
        <f t="shared" ref="AQ68:BC68" si="101">AQ21*AQ$50</f>
        <v>0</v>
      </c>
      <c r="AR68" s="332">
        <f t="shared" si="101"/>
        <v>0</v>
      </c>
      <c r="AS68" s="332">
        <f t="shared" si="101"/>
        <v>0</v>
      </c>
      <c r="AT68" s="332">
        <f t="shared" si="101"/>
        <v>0</v>
      </c>
      <c r="AU68" s="332">
        <f t="shared" si="101"/>
        <v>0</v>
      </c>
      <c r="AV68" s="332">
        <f t="shared" si="101"/>
        <v>0</v>
      </c>
      <c r="AW68" s="306">
        <f t="shared" si="101"/>
        <v>0</v>
      </c>
      <c r="AX68" s="306">
        <f t="shared" si="101"/>
        <v>8176065.9340659343</v>
      </c>
      <c r="AY68" s="306">
        <f t="shared" si="101"/>
        <v>0</v>
      </c>
      <c r="AZ68" s="306">
        <f t="shared" si="101"/>
        <v>0</v>
      </c>
      <c r="BA68" s="306">
        <f t="shared" si="101"/>
        <v>0</v>
      </c>
      <c r="BB68" s="306">
        <f t="shared" si="101"/>
        <v>0</v>
      </c>
      <c r="BC68" s="306">
        <f t="shared" si="101"/>
        <v>0</v>
      </c>
      <c r="BD68" s="589"/>
      <c r="BE68" s="84">
        <f t="shared" ref="BE68:BH68" si="102">BE21*BE$50</f>
        <v>0</v>
      </c>
      <c r="BF68" s="84">
        <f t="shared" si="102"/>
        <v>0</v>
      </c>
      <c r="BG68" s="84">
        <f t="shared" si="102"/>
        <v>0</v>
      </c>
      <c r="BH68" s="84">
        <f t="shared" si="102"/>
        <v>0</v>
      </c>
      <c r="BI68" s="589"/>
      <c r="BJ68" s="84">
        <f t="shared" ref="BJ68:BW68" si="103">BJ21*BJ$50/60</f>
        <v>0</v>
      </c>
      <c r="BK68" s="84">
        <f t="shared" si="103"/>
        <v>0</v>
      </c>
      <c r="BL68" s="84">
        <f t="shared" si="103"/>
        <v>0</v>
      </c>
      <c r="BM68" s="84">
        <f t="shared" si="103"/>
        <v>0</v>
      </c>
      <c r="BN68" s="84">
        <f t="shared" si="103"/>
        <v>0</v>
      </c>
      <c r="BO68" s="84">
        <f t="shared" si="103"/>
        <v>0</v>
      </c>
      <c r="BP68" s="84">
        <f t="shared" si="103"/>
        <v>0</v>
      </c>
      <c r="BQ68" s="84">
        <f t="shared" si="103"/>
        <v>0</v>
      </c>
      <c r="BR68" s="84">
        <f t="shared" si="103"/>
        <v>0</v>
      </c>
      <c r="BS68" s="84">
        <f t="shared" si="103"/>
        <v>0</v>
      </c>
      <c r="BT68" s="84">
        <f t="shared" si="103"/>
        <v>0</v>
      </c>
      <c r="BU68" s="84">
        <f t="shared" si="103"/>
        <v>0</v>
      </c>
      <c r="BV68" s="84">
        <f t="shared" si="103"/>
        <v>191826.92307692306</v>
      </c>
      <c r="BW68" s="84">
        <f t="shared" si="103"/>
        <v>0</v>
      </c>
      <c r="BX68" s="595"/>
      <c r="BY68" s="100">
        <f t="shared" si="17"/>
        <v>8367892.8571428573</v>
      </c>
    </row>
    <row r="69" spans="1:81" x14ac:dyDescent="0.25">
      <c r="A69" s="418">
        <f t="shared" si="67"/>
        <v>18</v>
      </c>
      <c r="B69" s="96" t="str">
        <f t="shared" si="54"/>
        <v>NV19</v>
      </c>
      <c r="C69" s="96" t="str">
        <f t="shared" si="54"/>
        <v>Thạch Giàu</v>
      </c>
      <c r="D69" s="96" t="str">
        <f t="shared" si="54"/>
        <v>Lái xe cơ giới</v>
      </c>
      <c r="E69" s="84">
        <f t="shared" ref="E69:T69" si="104">E22*E$50</f>
        <v>0</v>
      </c>
      <c r="F69" s="84">
        <f t="shared" si="104"/>
        <v>0</v>
      </c>
      <c r="G69" s="84">
        <f t="shared" si="104"/>
        <v>0</v>
      </c>
      <c r="H69" s="84">
        <f t="shared" si="104"/>
        <v>0</v>
      </c>
      <c r="I69" s="84">
        <f t="shared" si="104"/>
        <v>0</v>
      </c>
      <c r="J69" s="84">
        <f t="shared" si="104"/>
        <v>0</v>
      </c>
      <c r="K69" s="84">
        <f t="shared" si="104"/>
        <v>0</v>
      </c>
      <c r="L69" s="84">
        <f t="shared" si="104"/>
        <v>0</v>
      </c>
      <c r="M69" s="84">
        <f t="shared" si="104"/>
        <v>0</v>
      </c>
      <c r="N69" s="84">
        <f t="shared" si="104"/>
        <v>0</v>
      </c>
      <c r="O69" s="84">
        <f t="shared" si="104"/>
        <v>0</v>
      </c>
      <c r="P69" s="84">
        <f t="shared" si="104"/>
        <v>0</v>
      </c>
      <c r="Q69" s="84">
        <f t="shared" si="104"/>
        <v>0</v>
      </c>
      <c r="R69" s="84">
        <f t="shared" si="104"/>
        <v>0</v>
      </c>
      <c r="S69" s="84">
        <f t="shared" si="104"/>
        <v>0</v>
      </c>
      <c r="T69" s="84">
        <f t="shared" si="104"/>
        <v>0</v>
      </c>
      <c r="U69" s="589"/>
      <c r="V69" s="84">
        <f t="shared" ref="V69:AJ69" si="105">V22*V$50</f>
        <v>0</v>
      </c>
      <c r="W69" s="84">
        <f t="shared" si="105"/>
        <v>0</v>
      </c>
      <c r="X69" s="84">
        <f t="shared" si="105"/>
        <v>0</v>
      </c>
      <c r="Y69" s="84">
        <f t="shared" si="105"/>
        <v>0</v>
      </c>
      <c r="Z69" s="84">
        <f t="shared" si="105"/>
        <v>0</v>
      </c>
      <c r="AA69" s="84">
        <f t="shared" si="105"/>
        <v>0</v>
      </c>
      <c r="AB69" s="84">
        <f t="shared" si="105"/>
        <v>0</v>
      </c>
      <c r="AC69" s="84">
        <f t="shared" si="105"/>
        <v>0</v>
      </c>
      <c r="AD69" s="84">
        <f t="shared" si="105"/>
        <v>0</v>
      </c>
      <c r="AE69" s="84">
        <f t="shared" si="105"/>
        <v>0</v>
      </c>
      <c r="AF69" s="84">
        <f t="shared" si="105"/>
        <v>0</v>
      </c>
      <c r="AG69" s="84">
        <f t="shared" si="105"/>
        <v>0</v>
      </c>
      <c r="AH69" s="84">
        <f t="shared" si="105"/>
        <v>0</v>
      </c>
      <c r="AI69" s="84">
        <f t="shared" si="105"/>
        <v>0</v>
      </c>
      <c r="AJ69" s="84">
        <f t="shared" si="105"/>
        <v>0</v>
      </c>
      <c r="AK69" s="589"/>
      <c r="AL69" s="84">
        <f t="shared" ref="AL69:AO69" si="106">AL22*AL$50</f>
        <v>0</v>
      </c>
      <c r="AM69" s="84">
        <f t="shared" si="106"/>
        <v>0</v>
      </c>
      <c r="AN69" s="84">
        <f t="shared" si="106"/>
        <v>0</v>
      </c>
      <c r="AO69" s="84">
        <f t="shared" si="106"/>
        <v>0</v>
      </c>
      <c r="AP69" s="593"/>
      <c r="AQ69" s="332">
        <f t="shared" ref="AQ69:BC69" si="107">AQ22*AQ$50</f>
        <v>57561.486132914775</v>
      </c>
      <c r="AR69" s="332">
        <f t="shared" si="107"/>
        <v>0</v>
      </c>
      <c r="AS69" s="332">
        <f t="shared" si="107"/>
        <v>0</v>
      </c>
      <c r="AT69" s="332">
        <f t="shared" si="107"/>
        <v>0</v>
      </c>
      <c r="AU69" s="332">
        <f t="shared" si="107"/>
        <v>0</v>
      </c>
      <c r="AV69" s="332">
        <f t="shared" si="107"/>
        <v>0</v>
      </c>
      <c r="AW69" s="306">
        <f t="shared" si="107"/>
        <v>91051.805337519647</v>
      </c>
      <c r="AX69" s="306">
        <f t="shared" si="107"/>
        <v>0</v>
      </c>
      <c r="AY69" s="306">
        <f t="shared" si="107"/>
        <v>0</v>
      </c>
      <c r="AZ69" s="306">
        <f t="shared" si="107"/>
        <v>0</v>
      </c>
      <c r="BA69" s="306">
        <f t="shared" si="107"/>
        <v>0</v>
      </c>
      <c r="BB69" s="306">
        <f t="shared" si="107"/>
        <v>0</v>
      </c>
      <c r="BC69" s="306">
        <f t="shared" si="107"/>
        <v>0</v>
      </c>
      <c r="BD69" s="589"/>
      <c r="BE69" s="84">
        <f t="shared" ref="BE69:BH69" si="108">BE22*BE$50</f>
        <v>0</v>
      </c>
      <c r="BF69" s="84">
        <f t="shared" si="108"/>
        <v>0</v>
      </c>
      <c r="BG69" s="84">
        <f t="shared" si="108"/>
        <v>0</v>
      </c>
      <c r="BH69" s="84">
        <f t="shared" si="108"/>
        <v>0</v>
      </c>
      <c r="BI69" s="589"/>
      <c r="BJ69" s="84">
        <f t="shared" ref="BJ69:BW69" si="109">BJ22*BJ$50/60</f>
        <v>0</v>
      </c>
      <c r="BK69" s="84">
        <f t="shared" si="109"/>
        <v>552764.42307692301</v>
      </c>
      <c r="BL69" s="84">
        <f t="shared" si="109"/>
        <v>0</v>
      </c>
      <c r="BM69" s="84">
        <f t="shared" si="109"/>
        <v>0</v>
      </c>
      <c r="BN69" s="84">
        <f t="shared" si="109"/>
        <v>0</v>
      </c>
      <c r="BO69" s="84">
        <f t="shared" si="109"/>
        <v>0</v>
      </c>
      <c r="BP69" s="84">
        <f t="shared" si="109"/>
        <v>0</v>
      </c>
      <c r="BQ69" s="84">
        <f t="shared" si="109"/>
        <v>0</v>
      </c>
      <c r="BR69" s="84">
        <f t="shared" si="109"/>
        <v>0</v>
      </c>
      <c r="BS69" s="84">
        <f t="shared" si="109"/>
        <v>0</v>
      </c>
      <c r="BT69" s="84">
        <f t="shared" si="109"/>
        <v>0</v>
      </c>
      <c r="BU69" s="84">
        <f t="shared" si="109"/>
        <v>0</v>
      </c>
      <c r="BV69" s="84">
        <f t="shared" si="109"/>
        <v>657692.30769230763</v>
      </c>
      <c r="BW69" s="84">
        <f t="shared" si="109"/>
        <v>0</v>
      </c>
      <c r="BX69" s="595"/>
      <c r="BY69" s="100">
        <f t="shared" si="17"/>
        <v>1359070.022239665</v>
      </c>
    </row>
    <row r="70" spans="1:81" s="987" customFormat="1" x14ac:dyDescent="0.25">
      <c r="A70" s="981">
        <f t="shared" si="67"/>
        <v>19</v>
      </c>
      <c r="B70" s="981" t="str">
        <f t="shared" si="54"/>
        <v>NV20</v>
      </c>
      <c r="C70" s="981" t="str">
        <f t="shared" si="54"/>
        <v>Trần Thanh Hậu</v>
      </c>
      <c r="D70" s="981" t="str">
        <f t="shared" si="54"/>
        <v>Lái xe cơ giới</v>
      </c>
      <c r="E70" s="982">
        <f t="shared" ref="E70:T70" si="110">E23*E$50</f>
        <v>0</v>
      </c>
      <c r="F70" s="982">
        <f t="shared" si="110"/>
        <v>0</v>
      </c>
      <c r="G70" s="982">
        <f t="shared" si="110"/>
        <v>0</v>
      </c>
      <c r="H70" s="982">
        <f t="shared" si="110"/>
        <v>0</v>
      </c>
      <c r="I70" s="982">
        <f t="shared" si="110"/>
        <v>0</v>
      </c>
      <c r="J70" s="982">
        <f t="shared" si="110"/>
        <v>0</v>
      </c>
      <c r="K70" s="982">
        <f t="shared" si="110"/>
        <v>0</v>
      </c>
      <c r="L70" s="982">
        <f t="shared" si="110"/>
        <v>0</v>
      </c>
      <c r="M70" s="982">
        <f t="shared" si="110"/>
        <v>0</v>
      </c>
      <c r="N70" s="982">
        <f t="shared" si="110"/>
        <v>0</v>
      </c>
      <c r="O70" s="982">
        <f t="shared" si="110"/>
        <v>0</v>
      </c>
      <c r="P70" s="982">
        <f t="shared" si="110"/>
        <v>0</v>
      </c>
      <c r="Q70" s="982">
        <f t="shared" si="110"/>
        <v>0</v>
      </c>
      <c r="R70" s="982">
        <f t="shared" si="110"/>
        <v>0</v>
      </c>
      <c r="S70" s="982">
        <f t="shared" si="110"/>
        <v>0</v>
      </c>
      <c r="T70" s="982">
        <f t="shared" si="110"/>
        <v>0</v>
      </c>
      <c r="U70" s="983"/>
      <c r="V70" s="982">
        <f t="shared" ref="V70:AJ70" si="111">V23*V$50</f>
        <v>0</v>
      </c>
      <c r="W70" s="982">
        <f t="shared" si="111"/>
        <v>0</v>
      </c>
      <c r="X70" s="982">
        <f t="shared" si="111"/>
        <v>0</v>
      </c>
      <c r="Y70" s="982">
        <f t="shared" si="111"/>
        <v>0</v>
      </c>
      <c r="Z70" s="982">
        <f t="shared" si="111"/>
        <v>0</v>
      </c>
      <c r="AA70" s="982">
        <f t="shared" si="111"/>
        <v>0</v>
      </c>
      <c r="AB70" s="982">
        <f t="shared" si="111"/>
        <v>0</v>
      </c>
      <c r="AC70" s="982">
        <f t="shared" si="111"/>
        <v>0</v>
      </c>
      <c r="AD70" s="982">
        <f t="shared" si="111"/>
        <v>0</v>
      </c>
      <c r="AE70" s="982">
        <f t="shared" si="111"/>
        <v>0</v>
      </c>
      <c r="AF70" s="982">
        <f t="shared" si="111"/>
        <v>0</v>
      </c>
      <c r="AG70" s="982">
        <f t="shared" si="111"/>
        <v>0</v>
      </c>
      <c r="AH70" s="982">
        <f t="shared" si="111"/>
        <v>0</v>
      </c>
      <c r="AI70" s="982">
        <f t="shared" si="111"/>
        <v>0</v>
      </c>
      <c r="AJ70" s="982">
        <f t="shared" si="111"/>
        <v>0</v>
      </c>
      <c r="AK70" s="983"/>
      <c r="AL70" s="982">
        <f t="shared" ref="AL70:AO70" si="112">AL23*AL$50</f>
        <v>0</v>
      </c>
      <c r="AM70" s="982">
        <f t="shared" si="112"/>
        <v>0</v>
      </c>
      <c r="AN70" s="982">
        <f t="shared" si="112"/>
        <v>0</v>
      </c>
      <c r="AO70" s="982">
        <f t="shared" si="112"/>
        <v>0</v>
      </c>
      <c r="AP70" s="984"/>
      <c r="AQ70" s="982">
        <f t="shared" ref="AQ70:BC70" si="113">AQ23*AQ$50</f>
        <v>0</v>
      </c>
      <c r="AR70" s="982">
        <f t="shared" si="113"/>
        <v>0</v>
      </c>
      <c r="AS70" s="982">
        <f t="shared" si="113"/>
        <v>0</v>
      </c>
      <c r="AT70" s="982">
        <f t="shared" si="113"/>
        <v>0</v>
      </c>
      <c r="AU70" s="982">
        <f t="shared" si="113"/>
        <v>0</v>
      </c>
      <c r="AV70" s="982">
        <f t="shared" si="113"/>
        <v>0</v>
      </c>
      <c r="AW70" s="982">
        <f t="shared" si="113"/>
        <v>0</v>
      </c>
      <c r="AX70" s="982">
        <f t="shared" si="113"/>
        <v>9088461.538461538</v>
      </c>
      <c r="AY70" s="982">
        <f t="shared" si="113"/>
        <v>0</v>
      </c>
      <c r="AZ70" s="982">
        <f t="shared" si="113"/>
        <v>0</v>
      </c>
      <c r="BA70" s="982">
        <f t="shared" si="113"/>
        <v>0</v>
      </c>
      <c r="BB70" s="982">
        <f t="shared" si="113"/>
        <v>0</v>
      </c>
      <c r="BC70" s="982">
        <f t="shared" si="113"/>
        <v>0</v>
      </c>
      <c r="BD70" s="983"/>
      <c r="BE70" s="982">
        <f t="shared" ref="BE70:BH70" si="114">BE23*BE$50</f>
        <v>0</v>
      </c>
      <c r="BF70" s="982">
        <f t="shared" si="114"/>
        <v>0</v>
      </c>
      <c r="BG70" s="982">
        <f t="shared" si="114"/>
        <v>0</v>
      </c>
      <c r="BH70" s="982">
        <f t="shared" si="114"/>
        <v>0</v>
      </c>
      <c r="BI70" s="983"/>
      <c r="BJ70" s="982">
        <f t="shared" ref="BJ70:BW70" si="115">BJ23*BJ$50/60</f>
        <v>0</v>
      </c>
      <c r="BK70" s="982">
        <f t="shared" si="115"/>
        <v>0</v>
      </c>
      <c r="BL70" s="982">
        <f t="shared" si="115"/>
        <v>0</v>
      </c>
      <c r="BM70" s="982">
        <f t="shared" si="115"/>
        <v>0</v>
      </c>
      <c r="BN70" s="982">
        <f t="shared" si="115"/>
        <v>0</v>
      </c>
      <c r="BO70" s="982">
        <f t="shared" si="115"/>
        <v>0</v>
      </c>
      <c r="BP70" s="982">
        <f t="shared" si="115"/>
        <v>0</v>
      </c>
      <c r="BQ70" s="982">
        <f t="shared" si="115"/>
        <v>0</v>
      </c>
      <c r="BR70" s="982">
        <f t="shared" si="115"/>
        <v>0</v>
      </c>
      <c r="BS70" s="982">
        <f t="shared" si="115"/>
        <v>0</v>
      </c>
      <c r="BT70" s="982">
        <f t="shared" si="115"/>
        <v>0</v>
      </c>
      <c r="BU70" s="982">
        <f t="shared" si="115"/>
        <v>0</v>
      </c>
      <c r="BV70" s="982">
        <f t="shared" si="115"/>
        <v>0</v>
      </c>
      <c r="BW70" s="982">
        <f t="shared" si="115"/>
        <v>0</v>
      </c>
      <c r="BX70" s="985"/>
      <c r="BY70" s="986">
        <f t="shared" si="17"/>
        <v>9088461.538461538</v>
      </c>
    </row>
    <row r="71" spans="1:81" s="987" customFormat="1" x14ac:dyDescent="0.25">
      <c r="A71" s="981">
        <f t="shared" si="67"/>
        <v>20</v>
      </c>
      <c r="B71" s="981" t="str">
        <f t="shared" si="54"/>
        <v>NV21</v>
      </c>
      <c r="C71" s="981" t="str">
        <f t="shared" si="54"/>
        <v xml:space="preserve">Trần Văn Thứ </v>
      </c>
      <c r="D71" s="981" t="str">
        <f t="shared" si="54"/>
        <v>Lái xe cơ giới</v>
      </c>
      <c r="E71" s="982">
        <f t="shared" ref="E71:T71" si="116">E24*E$50</f>
        <v>0</v>
      </c>
      <c r="F71" s="982">
        <f t="shared" si="116"/>
        <v>0</v>
      </c>
      <c r="G71" s="982">
        <f t="shared" si="116"/>
        <v>0</v>
      </c>
      <c r="H71" s="982">
        <f t="shared" si="116"/>
        <v>0</v>
      </c>
      <c r="I71" s="982">
        <f t="shared" si="116"/>
        <v>0</v>
      </c>
      <c r="J71" s="982">
        <f t="shared" si="116"/>
        <v>0</v>
      </c>
      <c r="K71" s="982">
        <f t="shared" si="116"/>
        <v>0</v>
      </c>
      <c r="L71" s="982">
        <f t="shared" si="116"/>
        <v>0</v>
      </c>
      <c r="M71" s="982">
        <f t="shared" si="116"/>
        <v>0</v>
      </c>
      <c r="N71" s="982">
        <f t="shared" si="116"/>
        <v>0</v>
      </c>
      <c r="O71" s="982">
        <f t="shared" si="116"/>
        <v>0</v>
      </c>
      <c r="P71" s="982">
        <f t="shared" si="116"/>
        <v>0</v>
      </c>
      <c r="Q71" s="982">
        <f t="shared" si="116"/>
        <v>0</v>
      </c>
      <c r="R71" s="982">
        <f t="shared" si="116"/>
        <v>0</v>
      </c>
      <c r="S71" s="982">
        <f t="shared" si="116"/>
        <v>0</v>
      </c>
      <c r="T71" s="982">
        <f t="shared" si="116"/>
        <v>0</v>
      </c>
      <c r="U71" s="983"/>
      <c r="V71" s="982">
        <f t="shared" ref="V71:AJ71" si="117">V24*V$50</f>
        <v>0</v>
      </c>
      <c r="W71" s="982">
        <f t="shared" si="117"/>
        <v>0</v>
      </c>
      <c r="X71" s="982">
        <f t="shared" si="117"/>
        <v>0</v>
      </c>
      <c r="Y71" s="982">
        <f t="shared" si="117"/>
        <v>0</v>
      </c>
      <c r="Z71" s="982">
        <f t="shared" si="117"/>
        <v>0</v>
      </c>
      <c r="AA71" s="982">
        <f t="shared" si="117"/>
        <v>0</v>
      </c>
      <c r="AB71" s="982">
        <f t="shared" si="117"/>
        <v>0</v>
      </c>
      <c r="AC71" s="982">
        <f t="shared" si="117"/>
        <v>0</v>
      </c>
      <c r="AD71" s="982">
        <f t="shared" si="117"/>
        <v>0</v>
      </c>
      <c r="AE71" s="982">
        <f t="shared" si="117"/>
        <v>0</v>
      </c>
      <c r="AF71" s="982">
        <f t="shared" si="117"/>
        <v>0</v>
      </c>
      <c r="AG71" s="982">
        <f t="shared" si="117"/>
        <v>0</v>
      </c>
      <c r="AH71" s="982">
        <f t="shared" si="117"/>
        <v>0</v>
      </c>
      <c r="AI71" s="982">
        <f t="shared" si="117"/>
        <v>0</v>
      </c>
      <c r="AJ71" s="982">
        <f t="shared" si="117"/>
        <v>0</v>
      </c>
      <c r="AK71" s="983"/>
      <c r="AL71" s="982">
        <f t="shared" ref="AL71:AO71" si="118">AL24*AL$50</f>
        <v>0</v>
      </c>
      <c r="AM71" s="982">
        <f t="shared" si="118"/>
        <v>0</v>
      </c>
      <c r="AN71" s="982">
        <f t="shared" si="118"/>
        <v>0</v>
      </c>
      <c r="AO71" s="982">
        <f t="shared" si="118"/>
        <v>0</v>
      </c>
      <c r="AP71" s="984"/>
      <c r="AQ71" s="982">
        <f t="shared" ref="AQ71:BC71" si="119">AQ24*AQ$50</f>
        <v>0</v>
      </c>
      <c r="AR71" s="982">
        <f t="shared" si="119"/>
        <v>0</v>
      </c>
      <c r="AS71" s="982">
        <f t="shared" si="119"/>
        <v>0</v>
      </c>
      <c r="AT71" s="982">
        <f t="shared" si="119"/>
        <v>0</v>
      </c>
      <c r="AU71" s="982">
        <f t="shared" si="119"/>
        <v>0</v>
      </c>
      <c r="AV71" s="982">
        <f t="shared" si="119"/>
        <v>0</v>
      </c>
      <c r="AW71" s="982">
        <f t="shared" si="119"/>
        <v>0</v>
      </c>
      <c r="AX71" s="982">
        <f t="shared" si="119"/>
        <v>9851406.5934065934</v>
      </c>
      <c r="AY71" s="982">
        <f t="shared" si="119"/>
        <v>0</v>
      </c>
      <c r="AZ71" s="982">
        <f t="shared" si="119"/>
        <v>0</v>
      </c>
      <c r="BA71" s="982">
        <f t="shared" si="119"/>
        <v>0</v>
      </c>
      <c r="BB71" s="982">
        <f t="shared" si="119"/>
        <v>0</v>
      </c>
      <c r="BC71" s="982">
        <f t="shared" si="119"/>
        <v>0</v>
      </c>
      <c r="BD71" s="983"/>
      <c r="BE71" s="982">
        <f t="shared" ref="BE71:BH71" si="120">BE24*BE$50</f>
        <v>0</v>
      </c>
      <c r="BF71" s="982">
        <f t="shared" si="120"/>
        <v>0</v>
      </c>
      <c r="BG71" s="982">
        <f t="shared" si="120"/>
        <v>0</v>
      </c>
      <c r="BH71" s="982">
        <f t="shared" si="120"/>
        <v>0</v>
      </c>
      <c r="BI71" s="983"/>
      <c r="BJ71" s="982">
        <f t="shared" ref="BJ71:BW71" si="121">BJ24*BJ$50/60</f>
        <v>0</v>
      </c>
      <c r="BK71" s="982">
        <f t="shared" si="121"/>
        <v>0</v>
      </c>
      <c r="BL71" s="982">
        <f t="shared" si="121"/>
        <v>0</v>
      </c>
      <c r="BM71" s="982">
        <f t="shared" si="121"/>
        <v>0</v>
      </c>
      <c r="BN71" s="982">
        <f t="shared" si="121"/>
        <v>0</v>
      </c>
      <c r="BO71" s="982">
        <f t="shared" si="121"/>
        <v>0</v>
      </c>
      <c r="BP71" s="982">
        <f t="shared" si="121"/>
        <v>0</v>
      </c>
      <c r="BQ71" s="982">
        <f t="shared" si="121"/>
        <v>0</v>
      </c>
      <c r="BR71" s="982">
        <f t="shared" si="121"/>
        <v>0</v>
      </c>
      <c r="BS71" s="982">
        <f t="shared" si="121"/>
        <v>0</v>
      </c>
      <c r="BT71" s="982">
        <f t="shared" si="121"/>
        <v>0</v>
      </c>
      <c r="BU71" s="982">
        <f t="shared" si="121"/>
        <v>0</v>
      </c>
      <c r="BV71" s="982">
        <f t="shared" si="121"/>
        <v>0</v>
      </c>
      <c r="BW71" s="982">
        <f t="shared" si="121"/>
        <v>0</v>
      </c>
      <c r="BX71" s="985"/>
      <c r="BY71" s="986">
        <f t="shared" si="17"/>
        <v>9851406.5934065934</v>
      </c>
    </row>
    <row r="72" spans="1:81" x14ac:dyDescent="0.25">
      <c r="A72" s="418">
        <f t="shared" si="67"/>
        <v>21</v>
      </c>
      <c r="B72" s="96" t="str">
        <f t="shared" si="54"/>
        <v>NV22</v>
      </c>
      <c r="C72" s="96" t="str">
        <f t="shared" si="54"/>
        <v>Lê Tấn Phát</v>
      </c>
      <c r="D72" s="96" t="str">
        <f t="shared" si="54"/>
        <v>Lái xe cơ giới</v>
      </c>
      <c r="E72" s="84">
        <f t="shared" ref="E72:T72" si="122">E25*E$50</f>
        <v>0</v>
      </c>
      <c r="F72" s="84">
        <f t="shared" si="122"/>
        <v>0</v>
      </c>
      <c r="G72" s="84">
        <f t="shared" si="122"/>
        <v>0</v>
      </c>
      <c r="H72" s="84">
        <f t="shared" si="122"/>
        <v>0</v>
      </c>
      <c r="I72" s="84">
        <f t="shared" si="122"/>
        <v>0</v>
      </c>
      <c r="J72" s="84">
        <f t="shared" si="122"/>
        <v>0</v>
      </c>
      <c r="K72" s="84">
        <f t="shared" si="122"/>
        <v>0</v>
      </c>
      <c r="L72" s="84">
        <f t="shared" si="122"/>
        <v>0</v>
      </c>
      <c r="M72" s="84">
        <f t="shared" si="122"/>
        <v>0</v>
      </c>
      <c r="N72" s="84">
        <f t="shared" si="122"/>
        <v>0</v>
      </c>
      <c r="O72" s="84">
        <f t="shared" si="122"/>
        <v>0</v>
      </c>
      <c r="P72" s="84">
        <f t="shared" si="122"/>
        <v>0</v>
      </c>
      <c r="Q72" s="84">
        <f t="shared" si="122"/>
        <v>0</v>
      </c>
      <c r="R72" s="84">
        <f t="shared" si="122"/>
        <v>0</v>
      </c>
      <c r="S72" s="84">
        <f t="shared" si="122"/>
        <v>0</v>
      </c>
      <c r="T72" s="84">
        <f t="shared" si="122"/>
        <v>0</v>
      </c>
      <c r="U72" s="589"/>
      <c r="V72" s="84">
        <f t="shared" ref="V72:AJ72" si="123">V25*V$50</f>
        <v>0</v>
      </c>
      <c r="W72" s="84">
        <f t="shared" si="123"/>
        <v>0</v>
      </c>
      <c r="X72" s="84">
        <f t="shared" si="123"/>
        <v>0</v>
      </c>
      <c r="Y72" s="84">
        <f t="shared" si="123"/>
        <v>0</v>
      </c>
      <c r="Z72" s="84">
        <f t="shared" si="123"/>
        <v>0</v>
      </c>
      <c r="AA72" s="84">
        <f t="shared" si="123"/>
        <v>0</v>
      </c>
      <c r="AB72" s="84">
        <f t="shared" si="123"/>
        <v>0</v>
      </c>
      <c r="AC72" s="84">
        <f t="shared" si="123"/>
        <v>0</v>
      </c>
      <c r="AD72" s="84">
        <f t="shared" si="123"/>
        <v>0</v>
      </c>
      <c r="AE72" s="84">
        <f t="shared" si="123"/>
        <v>0</v>
      </c>
      <c r="AF72" s="84">
        <f t="shared" si="123"/>
        <v>0</v>
      </c>
      <c r="AG72" s="84">
        <f t="shared" si="123"/>
        <v>0</v>
      </c>
      <c r="AH72" s="84">
        <f t="shared" si="123"/>
        <v>0</v>
      </c>
      <c r="AI72" s="84">
        <f t="shared" si="123"/>
        <v>0</v>
      </c>
      <c r="AJ72" s="84">
        <f t="shared" si="123"/>
        <v>0</v>
      </c>
      <c r="AK72" s="589"/>
      <c r="AL72" s="84">
        <f t="shared" ref="AL72:AO72" si="124">AL25*AL$50</f>
        <v>0</v>
      </c>
      <c r="AM72" s="84">
        <f t="shared" si="124"/>
        <v>0</v>
      </c>
      <c r="AN72" s="84">
        <f t="shared" si="124"/>
        <v>0</v>
      </c>
      <c r="AO72" s="84">
        <f t="shared" si="124"/>
        <v>0</v>
      </c>
      <c r="AP72" s="593"/>
      <c r="AQ72" s="332">
        <f t="shared" ref="AQ72:BC72" si="125">AQ25*AQ$50</f>
        <v>0</v>
      </c>
      <c r="AR72" s="332">
        <f t="shared" si="125"/>
        <v>0</v>
      </c>
      <c r="AS72" s="332">
        <f t="shared" si="125"/>
        <v>0</v>
      </c>
      <c r="AT72" s="332">
        <f t="shared" si="125"/>
        <v>0</v>
      </c>
      <c r="AU72" s="332">
        <f t="shared" si="125"/>
        <v>0</v>
      </c>
      <c r="AV72" s="332">
        <f t="shared" si="125"/>
        <v>0</v>
      </c>
      <c r="AW72" s="306">
        <f t="shared" si="125"/>
        <v>0</v>
      </c>
      <c r="AX72" s="306">
        <f t="shared" si="125"/>
        <v>8895296.7032967042</v>
      </c>
      <c r="AY72" s="306">
        <f t="shared" si="125"/>
        <v>0</v>
      </c>
      <c r="AZ72" s="306">
        <f t="shared" si="125"/>
        <v>0</v>
      </c>
      <c r="BA72" s="306">
        <f t="shared" si="125"/>
        <v>0</v>
      </c>
      <c r="BB72" s="306">
        <f t="shared" si="125"/>
        <v>0</v>
      </c>
      <c r="BC72" s="306">
        <f t="shared" si="125"/>
        <v>0</v>
      </c>
      <c r="BD72" s="589"/>
      <c r="BE72" s="84">
        <f t="shared" ref="BE72:BH72" si="126">BE25*BE$50</f>
        <v>0</v>
      </c>
      <c r="BF72" s="84">
        <f t="shared" si="126"/>
        <v>0</v>
      </c>
      <c r="BG72" s="84">
        <f t="shared" si="126"/>
        <v>0</v>
      </c>
      <c r="BH72" s="84">
        <f t="shared" si="126"/>
        <v>0</v>
      </c>
      <c r="BI72" s="589"/>
      <c r="BJ72" s="84">
        <f t="shared" ref="BJ72:BW72" si="127">BJ25*BJ$50/60</f>
        <v>0</v>
      </c>
      <c r="BK72" s="84">
        <f t="shared" si="127"/>
        <v>0</v>
      </c>
      <c r="BL72" s="84">
        <f t="shared" si="127"/>
        <v>0</v>
      </c>
      <c r="BM72" s="84">
        <f t="shared" si="127"/>
        <v>0</v>
      </c>
      <c r="BN72" s="84">
        <f t="shared" si="127"/>
        <v>0</v>
      </c>
      <c r="BO72" s="84">
        <f t="shared" si="127"/>
        <v>0</v>
      </c>
      <c r="BP72" s="84">
        <f t="shared" si="127"/>
        <v>0</v>
      </c>
      <c r="BQ72" s="84">
        <f t="shared" si="127"/>
        <v>0</v>
      </c>
      <c r="BR72" s="84">
        <f t="shared" si="127"/>
        <v>0</v>
      </c>
      <c r="BS72" s="84">
        <f t="shared" si="127"/>
        <v>0</v>
      </c>
      <c r="BT72" s="84">
        <f t="shared" si="127"/>
        <v>0</v>
      </c>
      <c r="BU72" s="84">
        <f t="shared" si="127"/>
        <v>0</v>
      </c>
      <c r="BV72" s="84">
        <f t="shared" si="127"/>
        <v>0</v>
      </c>
      <c r="BW72" s="84">
        <f t="shared" si="127"/>
        <v>0</v>
      </c>
      <c r="BX72" s="595"/>
      <c r="BY72" s="100">
        <f t="shared" si="17"/>
        <v>8895296.7032967042</v>
      </c>
    </row>
    <row r="73" spans="1:81" x14ac:dyDescent="0.25">
      <c r="A73" s="418">
        <f t="shared" si="67"/>
        <v>22</v>
      </c>
      <c r="B73" s="96" t="str">
        <f t="shared" si="54"/>
        <v>NV23</v>
      </c>
      <c r="C73" s="96" t="str">
        <f t="shared" si="54"/>
        <v>Quách Văn Chánh</v>
      </c>
      <c r="D73" s="96" t="str">
        <f t="shared" si="54"/>
        <v xml:space="preserve">Công nhân </v>
      </c>
      <c r="E73" s="84">
        <f t="shared" ref="E73:T73" si="128">E26*E$50</f>
        <v>0</v>
      </c>
      <c r="F73" s="84">
        <f t="shared" si="128"/>
        <v>0</v>
      </c>
      <c r="G73" s="84">
        <f t="shared" si="128"/>
        <v>0</v>
      </c>
      <c r="H73" s="84">
        <f t="shared" si="128"/>
        <v>0</v>
      </c>
      <c r="I73" s="84">
        <f t="shared" si="128"/>
        <v>0</v>
      </c>
      <c r="J73" s="84">
        <f t="shared" si="128"/>
        <v>0</v>
      </c>
      <c r="K73" s="84">
        <f t="shared" si="128"/>
        <v>0</v>
      </c>
      <c r="L73" s="84">
        <f t="shared" si="128"/>
        <v>0</v>
      </c>
      <c r="M73" s="84">
        <f t="shared" si="128"/>
        <v>0</v>
      </c>
      <c r="N73" s="84">
        <f t="shared" si="128"/>
        <v>0</v>
      </c>
      <c r="O73" s="84">
        <f t="shared" si="128"/>
        <v>0</v>
      </c>
      <c r="P73" s="84">
        <f t="shared" si="128"/>
        <v>0</v>
      </c>
      <c r="Q73" s="84">
        <f t="shared" si="128"/>
        <v>0</v>
      </c>
      <c r="R73" s="84">
        <f t="shared" si="128"/>
        <v>0</v>
      </c>
      <c r="S73" s="84">
        <f t="shared" si="128"/>
        <v>0</v>
      </c>
      <c r="T73" s="84">
        <f t="shared" si="128"/>
        <v>0</v>
      </c>
      <c r="U73" s="589"/>
      <c r="V73" s="84">
        <f t="shared" ref="V73:AJ73" si="129">V26*V$50</f>
        <v>0</v>
      </c>
      <c r="W73" s="84">
        <f t="shared" si="129"/>
        <v>0</v>
      </c>
      <c r="X73" s="84">
        <f t="shared" si="129"/>
        <v>0</v>
      </c>
      <c r="Y73" s="84">
        <f t="shared" si="129"/>
        <v>0</v>
      </c>
      <c r="Z73" s="84">
        <f t="shared" si="129"/>
        <v>0</v>
      </c>
      <c r="AA73" s="84">
        <f t="shared" si="129"/>
        <v>0</v>
      </c>
      <c r="AB73" s="84">
        <f t="shared" si="129"/>
        <v>0</v>
      </c>
      <c r="AC73" s="84">
        <f t="shared" si="129"/>
        <v>0</v>
      </c>
      <c r="AD73" s="84">
        <f t="shared" si="129"/>
        <v>0</v>
      </c>
      <c r="AE73" s="84">
        <f t="shared" si="129"/>
        <v>0</v>
      </c>
      <c r="AF73" s="84">
        <f t="shared" si="129"/>
        <v>0</v>
      </c>
      <c r="AG73" s="84">
        <f t="shared" si="129"/>
        <v>0</v>
      </c>
      <c r="AH73" s="84">
        <f t="shared" si="129"/>
        <v>0</v>
      </c>
      <c r="AI73" s="84">
        <f t="shared" si="129"/>
        <v>0</v>
      </c>
      <c r="AJ73" s="84">
        <f t="shared" si="129"/>
        <v>0</v>
      </c>
      <c r="AK73" s="589"/>
      <c r="AL73" s="84">
        <f t="shared" ref="AL73:AO73" si="130">AL26*AL$50</f>
        <v>0</v>
      </c>
      <c r="AM73" s="84">
        <f t="shared" si="130"/>
        <v>0</v>
      </c>
      <c r="AN73" s="84">
        <f t="shared" si="130"/>
        <v>0</v>
      </c>
      <c r="AO73" s="84">
        <f t="shared" si="130"/>
        <v>0</v>
      </c>
      <c r="AP73" s="593"/>
      <c r="AQ73" s="332">
        <f t="shared" ref="AQ73:BC73" si="131">AQ26*AQ$50</f>
        <v>0</v>
      </c>
      <c r="AR73" s="332">
        <f t="shared" si="131"/>
        <v>0</v>
      </c>
      <c r="AS73" s="332">
        <f t="shared" si="131"/>
        <v>0</v>
      </c>
      <c r="AT73" s="332">
        <f t="shared" si="131"/>
        <v>0</v>
      </c>
      <c r="AU73" s="332">
        <f t="shared" si="131"/>
        <v>0</v>
      </c>
      <c r="AV73" s="332">
        <f t="shared" si="131"/>
        <v>0</v>
      </c>
      <c r="AW73" s="306">
        <f t="shared" si="131"/>
        <v>11278405.023547882</v>
      </c>
      <c r="AX73" s="306">
        <f t="shared" si="131"/>
        <v>0</v>
      </c>
      <c r="AY73" s="306">
        <f t="shared" si="131"/>
        <v>0</v>
      </c>
      <c r="AZ73" s="306">
        <f t="shared" si="131"/>
        <v>0</v>
      </c>
      <c r="BA73" s="306">
        <f t="shared" si="131"/>
        <v>0</v>
      </c>
      <c r="BB73" s="306">
        <f t="shared" si="131"/>
        <v>0</v>
      </c>
      <c r="BC73" s="306">
        <f t="shared" si="131"/>
        <v>0</v>
      </c>
      <c r="BD73" s="589"/>
      <c r="BE73" s="84">
        <f t="shared" ref="BE73:BH73" si="132">BE26*BE$50</f>
        <v>0</v>
      </c>
      <c r="BF73" s="84">
        <f t="shared" si="132"/>
        <v>0</v>
      </c>
      <c r="BG73" s="84">
        <f t="shared" si="132"/>
        <v>0</v>
      </c>
      <c r="BH73" s="84">
        <f t="shared" si="132"/>
        <v>0</v>
      </c>
      <c r="BI73" s="589"/>
      <c r="BJ73" s="84">
        <f t="shared" ref="BJ73:BW73" si="133">BJ26*BJ$50/60</f>
        <v>0</v>
      </c>
      <c r="BK73" s="84">
        <f t="shared" si="133"/>
        <v>0</v>
      </c>
      <c r="BL73" s="84">
        <f t="shared" si="133"/>
        <v>0</v>
      </c>
      <c r="BM73" s="84">
        <f t="shared" si="133"/>
        <v>0</v>
      </c>
      <c r="BN73" s="84">
        <f t="shared" si="133"/>
        <v>0</v>
      </c>
      <c r="BO73" s="84">
        <f t="shared" si="133"/>
        <v>0</v>
      </c>
      <c r="BP73" s="84">
        <f t="shared" si="133"/>
        <v>0</v>
      </c>
      <c r="BQ73" s="84">
        <f t="shared" si="133"/>
        <v>0</v>
      </c>
      <c r="BR73" s="84">
        <f t="shared" si="133"/>
        <v>0</v>
      </c>
      <c r="BS73" s="84">
        <f t="shared" si="133"/>
        <v>0</v>
      </c>
      <c r="BT73" s="84">
        <f t="shared" si="133"/>
        <v>0</v>
      </c>
      <c r="BU73" s="84">
        <f t="shared" si="133"/>
        <v>0</v>
      </c>
      <c r="BV73" s="84">
        <f t="shared" si="133"/>
        <v>0</v>
      </c>
      <c r="BW73" s="84">
        <f t="shared" si="133"/>
        <v>0</v>
      </c>
      <c r="BX73" s="595"/>
      <c r="BY73" s="100">
        <f t="shared" si="17"/>
        <v>11278405.023547882</v>
      </c>
    </row>
    <row r="74" spans="1:81" ht="22.5" x14ac:dyDescent="0.25">
      <c r="A74" s="418">
        <f t="shared" si="67"/>
        <v>23</v>
      </c>
      <c r="B74" s="96" t="str">
        <f t="shared" si="54"/>
        <v>NV24</v>
      </c>
      <c r="C74" s="96" t="str">
        <f t="shared" si="54"/>
        <v>Trần văn Nguyện</v>
      </c>
      <c r="D74" s="96" t="str">
        <f t="shared" si="54"/>
        <v>Công nhân  (TX )</v>
      </c>
      <c r="E74" s="84">
        <f t="shared" ref="E74:T74" si="134">E27*E$50</f>
        <v>0</v>
      </c>
      <c r="F74" s="84">
        <f t="shared" si="134"/>
        <v>0</v>
      </c>
      <c r="G74" s="84">
        <f t="shared" si="134"/>
        <v>0</v>
      </c>
      <c r="H74" s="84">
        <f t="shared" si="134"/>
        <v>0</v>
      </c>
      <c r="I74" s="84">
        <f t="shared" si="134"/>
        <v>0</v>
      </c>
      <c r="J74" s="84">
        <f t="shared" si="134"/>
        <v>0</v>
      </c>
      <c r="K74" s="84">
        <f t="shared" si="134"/>
        <v>0</v>
      </c>
      <c r="L74" s="84">
        <f t="shared" si="134"/>
        <v>0</v>
      </c>
      <c r="M74" s="84">
        <f t="shared" si="134"/>
        <v>0</v>
      </c>
      <c r="N74" s="84">
        <f t="shared" si="134"/>
        <v>0</v>
      </c>
      <c r="O74" s="84">
        <f t="shared" si="134"/>
        <v>0</v>
      </c>
      <c r="P74" s="84">
        <f t="shared" si="134"/>
        <v>0</v>
      </c>
      <c r="Q74" s="84">
        <f t="shared" si="134"/>
        <v>0</v>
      </c>
      <c r="R74" s="84">
        <f t="shared" si="134"/>
        <v>0</v>
      </c>
      <c r="S74" s="84">
        <f t="shared" si="134"/>
        <v>0</v>
      </c>
      <c r="T74" s="84">
        <f t="shared" si="134"/>
        <v>0</v>
      </c>
      <c r="U74" s="589"/>
      <c r="V74" s="84">
        <f t="shared" ref="V74:AJ74" si="135">V27*V$50</f>
        <v>0</v>
      </c>
      <c r="W74" s="84">
        <f t="shared" si="135"/>
        <v>0</v>
      </c>
      <c r="X74" s="84">
        <f t="shared" si="135"/>
        <v>0</v>
      </c>
      <c r="Y74" s="84">
        <f t="shared" si="135"/>
        <v>0</v>
      </c>
      <c r="Z74" s="84">
        <f t="shared" si="135"/>
        <v>0</v>
      </c>
      <c r="AA74" s="84">
        <f t="shared" si="135"/>
        <v>0</v>
      </c>
      <c r="AB74" s="84">
        <f t="shared" si="135"/>
        <v>0</v>
      </c>
      <c r="AC74" s="84">
        <f t="shared" si="135"/>
        <v>0</v>
      </c>
      <c r="AD74" s="84">
        <f t="shared" si="135"/>
        <v>0</v>
      </c>
      <c r="AE74" s="84">
        <f t="shared" si="135"/>
        <v>0</v>
      </c>
      <c r="AF74" s="84">
        <f t="shared" si="135"/>
        <v>0</v>
      </c>
      <c r="AG74" s="84">
        <f t="shared" si="135"/>
        <v>0</v>
      </c>
      <c r="AH74" s="84">
        <f t="shared" si="135"/>
        <v>0</v>
      </c>
      <c r="AI74" s="84">
        <f t="shared" si="135"/>
        <v>0</v>
      </c>
      <c r="AJ74" s="84">
        <f t="shared" si="135"/>
        <v>0</v>
      </c>
      <c r="AK74" s="589"/>
      <c r="AL74" s="84">
        <f t="shared" ref="AL74:AO74" si="136">AL27*AL$50</f>
        <v>0</v>
      </c>
      <c r="AM74" s="84">
        <f t="shared" si="136"/>
        <v>0</v>
      </c>
      <c r="AN74" s="84">
        <f t="shared" si="136"/>
        <v>0</v>
      </c>
      <c r="AO74" s="84">
        <f t="shared" si="136"/>
        <v>0</v>
      </c>
      <c r="AP74" s="593"/>
      <c r="AQ74" s="332">
        <f t="shared" ref="AQ74:BC74" si="137">AQ27*AQ$50</f>
        <v>0</v>
      </c>
      <c r="AR74" s="332">
        <f t="shared" si="137"/>
        <v>0</v>
      </c>
      <c r="AS74" s="332">
        <f t="shared" si="137"/>
        <v>0</v>
      </c>
      <c r="AT74" s="332">
        <f t="shared" si="137"/>
        <v>0</v>
      </c>
      <c r="AU74" s="332">
        <f t="shared" si="137"/>
        <v>0</v>
      </c>
      <c r="AV74" s="332">
        <f t="shared" si="137"/>
        <v>0</v>
      </c>
      <c r="AW74" s="306">
        <f t="shared" si="137"/>
        <v>0</v>
      </c>
      <c r="AX74" s="306">
        <f t="shared" si="137"/>
        <v>0</v>
      </c>
      <c r="AY74" s="306">
        <f t="shared" si="137"/>
        <v>0</v>
      </c>
      <c r="AZ74" s="306">
        <f t="shared" si="137"/>
        <v>0</v>
      </c>
      <c r="BA74" s="306">
        <f t="shared" si="137"/>
        <v>0</v>
      </c>
      <c r="BB74" s="306">
        <f t="shared" si="137"/>
        <v>0</v>
      </c>
      <c r="BC74" s="306">
        <f t="shared" si="137"/>
        <v>0</v>
      </c>
      <c r="BD74" s="589"/>
      <c r="BE74" s="84">
        <f t="shared" ref="BE74:BH74" si="138">BE27*BE$50</f>
        <v>0</v>
      </c>
      <c r="BF74" s="84">
        <f t="shared" si="138"/>
        <v>0</v>
      </c>
      <c r="BG74" s="84">
        <f t="shared" si="138"/>
        <v>0</v>
      </c>
      <c r="BH74" s="84">
        <f t="shared" si="138"/>
        <v>0</v>
      </c>
      <c r="BI74" s="589"/>
      <c r="BJ74" s="84">
        <f t="shared" ref="BJ74:BW74" si="139">BJ27*BJ$50/60</f>
        <v>0</v>
      </c>
      <c r="BK74" s="84">
        <f t="shared" si="139"/>
        <v>0</v>
      </c>
      <c r="BL74" s="84">
        <f t="shared" si="139"/>
        <v>0</v>
      </c>
      <c r="BM74" s="84">
        <f t="shared" si="139"/>
        <v>0</v>
      </c>
      <c r="BN74" s="84">
        <f t="shared" si="139"/>
        <v>0</v>
      </c>
      <c r="BO74" s="84">
        <f t="shared" si="139"/>
        <v>0</v>
      </c>
      <c r="BP74" s="84">
        <f t="shared" si="139"/>
        <v>0</v>
      </c>
      <c r="BQ74" s="84">
        <f t="shared" si="139"/>
        <v>0</v>
      </c>
      <c r="BR74" s="84">
        <f t="shared" si="139"/>
        <v>0</v>
      </c>
      <c r="BS74" s="84">
        <f t="shared" si="139"/>
        <v>0</v>
      </c>
      <c r="BT74" s="84">
        <f t="shared" si="139"/>
        <v>0</v>
      </c>
      <c r="BU74" s="84">
        <f t="shared" si="139"/>
        <v>0</v>
      </c>
      <c r="BV74" s="84">
        <f t="shared" si="139"/>
        <v>0</v>
      </c>
      <c r="BW74" s="84">
        <f t="shared" si="139"/>
        <v>0</v>
      </c>
      <c r="BX74" s="595"/>
      <c r="BY74" s="100">
        <f t="shared" si="17"/>
        <v>0</v>
      </c>
    </row>
    <row r="75" spans="1:81" x14ac:dyDescent="0.25">
      <c r="A75" s="418">
        <f t="shared" si="67"/>
        <v>24</v>
      </c>
      <c r="B75" s="96" t="str">
        <f t="shared" si="54"/>
        <v>NV25</v>
      </c>
      <c r="C75" s="96" t="str">
        <f t="shared" si="54"/>
        <v>Châu Văn Tâm</v>
      </c>
      <c r="D75" s="96" t="str">
        <f t="shared" si="54"/>
        <v>Lái xe cơ giới</v>
      </c>
      <c r="E75" s="84">
        <f t="shared" ref="E75:T75" si="140">E28*E$50</f>
        <v>0</v>
      </c>
      <c r="F75" s="84">
        <f t="shared" si="140"/>
        <v>0</v>
      </c>
      <c r="G75" s="84">
        <f t="shared" si="140"/>
        <v>0</v>
      </c>
      <c r="H75" s="84">
        <f t="shared" si="140"/>
        <v>0</v>
      </c>
      <c r="I75" s="84">
        <f t="shared" si="140"/>
        <v>0</v>
      </c>
      <c r="J75" s="84">
        <f t="shared" si="140"/>
        <v>0</v>
      </c>
      <c r="K75" s="84">
        <f t="shared" si="140"/>
        <v>0</v>
      </c>
      <c r="L75" s="84">
        <f t="shared" si="140"/>
        <v>0</v>
      </c>
      <c r="M75" s="84">
        <f t="shared" si="140"/>
        <v>0</v>
      </c>
      <c r="N75" s="84">
        <f t="shared" si="140"/>
        <v>0</v>
      </c>
      <c r="O75" s="84">
        <f t="shared" si="140"/>
        <v>0</v>
      </c>
      <c r="P75" s="84">
        <f t="shared" si="140"/>
        <v>0</v>
      </c>
      <c r="Q75" s="84">
        <f t="shared" si="140"/>
        <v>0</v>
      </c>
      <c r="R75" s="84">
        <f t="shared" si="140"/>
        <v>0</v>
      </c>
      <c r="S75" s="84">
        <f t="shared" si="140"/>
        <v>0</v>
      </c>
      <c r="T75" s="84">
        <f t="shared" si="140"/>
        <v>0</v>
      </c>
      <c r="U75" s="589"/>
      <c r="V75" s="84">
        <f t="shared" ref="V75:AJ75" si="141">V28*V$50</f>
        <v>0</v>
      </c>
      <c r="W75" s="84">
        <f t="shared" si="141"/>
        <v>0</v>
      </c>
      <c r="X75" s="84">
        <f t="shared" si="141"/>
        <v>0</v>
      </c>
      <c r="Y75" s="84">
        <f t="shared" si="141"/>
        <v>0</v>
      </c>
      <c r="Z75" s="84">
        <f t="shared" si="141"/>
        <v>0</v>
      </c>
      <c r="AA75" s="84">
        <f t="shared" si="141"/>
        <v>0</v>
      </c>
      <c r="AB75" s="84">
        <f t="shared" si="141"/>
        <v>0</v>
      </c>
      <c r="AC75" s="84">
        <f t="shared" si="141"/>
        <v>0</v>
      </c>
      <c r="AD75" s="84">
        <f t="shared" si="141"/>
        <v>0</v>
      </c>
      <c r="AE75" s="84">
        <f t="shared" si="141"/>
        <v>0</v>
      </c>
      <c r="AF75" s="84">
        <f t="shared" si="141"/>
        <v>0</v>
      </c>
      <c r="AG75" s="84">
        <f t="shared" si="141"/>
        <v>0</v>
      </c>
      <c r="AH75" s="84">
        <f t="shared" si="141"/>
        <v>0</v>
      </c>
      <c r="AI75" s="84">
        <f t="shared" si="141"/>
        <v>0</v>
      </c>
      <c r="AJ75" s="84">
        <f t="shared" si="141"/>
        <v>0</v>
      </c>
      <c r="AK75" s="589"/>
      <c r="AL75" s="84">
        <f t="shared" ref="AL75:AO75" si="142">AL28*AL$50</f>
        <v>0</v>
      </c>
      <c r="AM75" s="84">
        <f t="shared" si="142"/>
        <v>0</v>
      </c>
      <c r="AN75" s="84">
        <f t="shared" si="142"/>
        <v>0</v>
      </c>
      <c r="AO75" s="84">
        <f t="shared" si="142"/>
        <v>0</v>
      </c>
      <c r="AP75" s="593"/>
      <c r="AQ75" s="332">
        <f t="shared" ref="AQ75:BC75" si="143">AQ28*AQ$50</f>
        <v>0</v>
      </c>
      <c r="AR75" s="332">
        <f t="shared" si="143"/>
        <v>0</v>
      </c>
      <c r="AS75" s="332">
        <f t="shared" si="143"/>
        <v>0</v>
      </c>
      <c r="AT75" s="332">
        <f t="shared" si="143"/>
        <v>0</v>
      </c>
      <c r="AU75" s="332">
        <f t="shared" si="143"/>
        <v>0</v>
      </c>
      <c r="AV75" s="332">
        <f t="shared" si="143"/>
        <v>0</v>
      </c>
      <c r="AW75" s="306">
        <f t="shared" si="143"/>
        <v>0</v>
      </c>
      <c r="AX75" s="306">
        <f t="shared" si="143"/>
        <v>0</v>
      </c>
      <c r="AY75" s="306">
        <f t="shared" si="143"/>
        <v>0</v>
      </c>
      <c r="AZ75" s="306">
        <f t="shared" si="143"/>
        <v>10273557.299843015</v>
      </c>
      <c r="BA75" s="306">
        <f t="shared" si="143"/>
        <v>0</v>
      </c>
      <c r="BB75" s="306">
        <f t="shared" si="143"/>
        <v>0</v>
      </c>
      <c r="BC75" s="306">
        <f t="shared" si="143"/>
        <v>0</v>
      </c>
      <c r="BD75" s="589"/>
      <c r="BE75" s="84">
        <f t="shared" ref="BE75:BH75" si="144">BE28*BE$50</f>
        <v>0</v>
      </c>
      <c r="BF75" s="84">
        <f t="shared" si="144"/>
        <v>0</v>
      </c>
      <c r="BG75" s="84">
        <f t="shared" si="144"/>
        <v>0</v>
      </c>
      <c r="BH75" s="84">
        <f t="shared" si="144"/>
        <v>0</v>
      </c>
      <c r="BI75" s="589"/>
      <c r="BJ75" s="84">
        <f t="shared" ref="BJ75:BW75" si="145">BJ28*BJ$50/60</f>
        <v>0</v>
      </c>
      <c r="BK75" s="84">
        <f t="shared" si="145"/>
        <v>0</v>
      </c>
      <c r="BL75" s="84">
        <f t="shared" si="145"/>
        <v>0</v>
      </c>
      <c r="BM75" s="84">
        <f t="shared" si="145"/>
        <v>0</v>
      </c>
      <c r="BN75" s="84">
        <f t="shared" si="145"/>
        <v>0</v>
      </c>
      <c r="BO75" s="84">
        <f t="shared" si="145"/>
        <v>0</v>
      </c>
      <c r="BP75" s="84">
        <f t="shared" si="145"/>
        <v>0</v>
      </c>
      <c r="BQ75" s="84">
        <f t="shared" si="145"/>
        <v>0</v>
      </c>
      <c r="BR75" s="84">
        <f t="shared" si="145"/>
        <v>0</v>
      </c>
      <c r="BS75" s="84">
        <f t="shared" si="145"/>
        <v>0</v>
      </c>
      <c r="BT75" s="84">
        <f t="shared" si="145"/>
        <v>0</v>
      </c>
      <c r="BU75" s="84">
        <f t="shared" si="145"/>
        <v>0</v>
      </c>
      <c r="BV75" s="84">
        <f t="shared" si="145"/>
        <v>0</v>
      </c>
      <c r="BW75" s="84">
        <f t="shared" si="145"/>
        <v>0</v>
      </c>
      <c r="BX75" s="595"/>
      <c r="BY75" s="100">
        <f t="shared" si="17"/>
        <v>10273557.299843015</v>
      </c>
    </row>
    <row r="76" spans="1:81" x14ac:dyDescent="0.25">
      <c r="A76" s="418">
        <f t="shared" si="67"/>
        <v>25</v>
      </c>
      <c r="B76" s="96" t="str">
        <f t="shared" si="54"/>
        <v>NV26</v>
      </c>
      <c r="C76" s="96" t="str">
        <f t="shared" si="54"/>
        <v>Trần Ngọc Sơn</v>
      </c>
      <c r="D76" s="96" t="str">
        <f t="shared" si="54"/>
        <v>Lái xe cơ giới</v>
      </c>
      <c r="E76" s="84">
        <f t="shared" ref="E76:T76" si="146">E29*E$50</f>
        <v>0</v>
      </c>
      <c r="F76" s="84">
        <f t="shared" si="146"/>
        <v>0</v>
      </c>
      <c r="G76" s="84">
        <f t="shared" si="146"/>
        <v>0</v>
      </c>
      <c r="H76" s="84">
        <f t="shared" si="146"/>
        <v>0</v>
      </c>
      <c r="I76" s="84">
        <f t="shared" si="146"/>
        <v>0</v>
      </c>
      <c r="J76" s="84">
        <f t="shared" si="146"/>
        <v>0</v>
      </c>
      <c r="K76" s="84">
        <f t="shared" si="146"/>
        <v>0</v>
      </c>
      <c r="L76" s="84">
        <f t="shared" si="146"/>
        <v>0</v>
      </c>
      <c r="M76" s="84">
        <f t="shared" si="146"/>
        <v>0</v>
      </c>
      <c r="N76" s="84">
        <f t="shared" si="146"/>
        <v>0</v>
      </c>
      <c r="O76" s="84">
        <f t="shared" si="146"/>
        <v>0</v>
      </c>
      <c r="P76" s="84">
        <f t="shared" si="146"/>
        <v>0</v>
      </c>
      <c r="Q76" s="84">
        <f t="shared" si="146"/>
        <v>0</v>
      </c>
      <c r="R76" s="84">
        <f t="shared" si="146"/>
        <v>0</v>
      </c>
      <c r="S76" s="84">
        <f t="shared" si="146"/>
        <v>0</v>
      </c>
      <c r="T76" s="84">
        <f t="shared" si="146"/>
        <v>0</v>
      </c>
      <c r="U76" s="589"/>
      <c r="V76" s="84">
        <f t="shared" ref="V76:AJ76" si="147">V29*V$50</f>
        <v>0</v>
      </c>
      <c r="W76" s="84">
        <f t="shared" si="147"/>
        <v>0</v>
      </c>
      <c r="X76" s="84">
        <f t="shared" si="147"/>
        <v>0</v>
      </c>
      <c r="Y76" s="84">
        <f t="shared" si="147"/>
        <v>0</v>
      </c>
      <c r="Z76" s="84">
        <f t="shared" si="147"/>
        <v>0</v>
      </c>
      <c r="AA76" s="84">
        <f t="shared" si="147"/>
        <v>0</v>
      </c>
      <c r="AB76" s="84">
        <f t="shared" si="147"/>
        <v>0</v>
      </c>
      <c r="AC76" s="84">
        <f t="shared" si="147"/>
        <v>0</v>
      </c>
      <c r="AD76" s="84">
        <f t="shared" si="147"/>
        <v>0</v>
      </c>
      <c r="AE76" s="84">
        <f t="shared" si="147"/>
        <v>0</v>
      </c>
      <c r="AF76" s="84">
        <f t="shared" si="147"/>
        <v>0</v>
      </c>
      <c r="AG76" s="84">
        <f t="shared" si="147"/>
        <v>0</v>
      </c>
      <c r="AH76" s="84">
        <f t="shared" si="147"/>
        <v>0</v>
      </c>
      <c r="AI76" s="84">
        <f t="shared" si="147"/>
        <v>0</v>
      </c>
      <c r="AJ76" s="84">
        <f t="shared" si="147"/>
        <v>0</v>
      </c>
      <c r="AK76" s="589"/>
      <c r="AL76" s="84">
        <f t="shared" ref="AL76:AO76" si="148">AL29*AL$50</f>
        <v>0</v>
      </c>
      <c r="AM76" s="84">
        <f t="shared" si="148"/>
        <v>0</v>
      </c>
      <c r="AN76" s="84">
        <f t="shared" si="148"/>
        <v>0</v>
      </c>
      <c r="AO76" s="84">
        <f t="shared" si="148"/>
        <v>0</v>
      </c>
      <c r="AP76" s="593"/>
      <c r="AQ76" s="332">
        <f t="shared" ref="AQ76:BC76" si="149">AQ29*AQ$50</f>
        <v>0</v>
      </c>
      <c r="AR76" s="332">
        <f t="shared" si="149"/>
        <v>0</v>
      </c>
      <c r="AS76" s="332">
        <f t="shared" si="149"/>
        <v>0</v>
      </c>
      <c r="AT76" s="332">
        <f t="shared" si="149"/>
        <v>0</v>
      </c>
      <c r="AU76" s="332">
        <f t="shared" si="149"/>
        <v>0</v>
      </c>
      <c r="AV76" s="332">
        <f t="shared" si="149"/>
        <v>0</v>
      </c>
      <c r="AW76" s="306">
        <f t="shared" si="149"/>
        <v>0</v>
      </c>
      <c r="AX76" s="306">
        <f t="shared" si="149"/>
        <v>0</v>
      </c>
      <c r="AY76" s="306">
        <f t="shared" si="149"/>
        <v>467277.86499215075</v>
      </c>
      <c r="AZ76" s="306">
        <f t="shared" si="149"/>
        <v>5381161.6954474105</v>
      </c>
      <c r="BA76" s="306">
        <f t="shared" si="149"/>
        <v>0</v>
      </c>
      <c r="BB76" s="306">
        <f t="shared" si="149"/>
        <v>0</v>
      </c>
      <c r="BC76" s="306">
        <f t="shared" si="149"/>
        <v>0</v>
      </c>
      <c r="BD76" s="589"/>
      <c r="BE76" s="84">
        <f t="shared" ref="BE76:BH76" si="150">BE29*BE$50</f>
        <v>0</v>
      </c>
      <c r="BF76" s="84">
        <f t="shared" si="150"/>
        <v>0</v>
      </c>
      <c r="BG76" s="84">
        <f t="shared" si="150"/>
        <v>0</v>
      </c>
      <c r="BH76" s="84">
        <f t="shared" si="150"/>
        <v>0</v>
      </c>
      <c r="BI76" s="589"/>
      <c r="BJ76" s="84">
        <f t="shared" ref="BJ76:BW76" si="151">BJ29*BJ$50/60</f>
        <v>0</v>
      </c>
      <c r="BK76" s="84">
        <f t="shared" si="151"/>
        <v>86538.461538461532</v>
      </c>
      <c r="BL76" s="84">
        <f t="shared" si="151"/>
        <v>0</v>
      </c>
      <c r="BM76" s="84">
        <f t="shared" si="151"/>
        <v>0</v>
      </c>
      <c r="BN76" s="84">
        <f t="shared" si="151"/>
        <v>0</v>
      </c>
      <c r="BO76" s="84">
        <f t="shared" si="151"/>
        <v>0</v>
      </c>
      <c r="BP76" s="84">
        <f t="shared" si="151"/>
        <v>0</v>
      </c>
      <c r="BQ76" s="84">
        <f t="shared" si="151"/>
        <v>0</v>
      </c>
      <c r="BR76" s="84">
        <f t="shared" si="151"/>
        <v>0</v>
      </c>
      <c r="BS76" s="84">
        <f t="shared" si="151"/>
        <v>0</v>
      </c>
      <c r="BT76" s="84">
        <f t="shared" si="151"/>
        <v>0</v>
      </c>
      <c r="BU76" s="84">
        <f t="shared" si="151"/>
        <v>0</v>
      </c>
      <c r="BV76" s="84">
        <f t="shared" si="151"/>
        <v>0</v>
      </c>
      <c r="BW76" s="84">
        <f t="shared" si="151"/>
        <v>0</v>
      </c>
      <c r="BX76" s="595"/>
      <c r="BY76" s="100">
        <f t="shared" si="17"/>
        <v>5934978.0219780235</v>
      </c>
    </row>
    <row r="77" spans="1:81" x14ac:dyDescent="0.25">
      <c r="A77" s="418">
        <f t="shared" si="67"/>
        <v>26</v>
      </c>
      <c r="B77" s="96" t="str">
        <f t="shared" si="54"/>
        <v>NV27</v>
      </c>
      <c r="C77" s="96" t="str">
        <f t="shared" si="54"/>
        <v>Nguyễn Văn Tuấn</v>
      </c>
      <c r="D77" s="96" t="str">
        <f t="shared" si="54"/>
        <v>Lái xe cơ giới</v>
      </c>
      <c r="E77" s="84">
        <f t="shared" ref="E77:T77" si="152">E30*E$50</f>
        <v>0</v>
      </c>
      <c r="F77" s="84">
        <f t="shared" si="152"/>
        <v>0</v>
      </c>
      <c r="G77" s="84">
        <f t="shared" si="152"/>
        <v>0</v>
      </c>
      <c r="H77" s="84">
        <f t="shared" si="152"/>
        <v>0</v>
      </c>
      <c r="I77" s="84">
        <f t="shared" si="152"/>
        <v>0</v>
      </c>
      <c r="J77" s="84">
        <f t="shared" si="152"/>
        <v>0</v>
      </c>
      <c r="K77" s="84">
        <f t="shared" si="152"/>
        <v>0</v>
      </c>
      <c r="L77" s="84">
        <f t="shared" si="152"/>
        <v>0</v>
      </c>
      <c r="M77" s="84">
        <f t="shared" si="152"/>
        <v>0</v>
      </c>
      <c r="N77" s="84">
        <f t="shared" si="152"/>
        <v>0</v>
      </c>
      <c r="O77" s="84">
        <f t="shared" si="152"/>
        <v>0</v>
      </c>
      <c r="P77" s="84">
        <f t="shared" si="152"/>
        <v>0</v>
      </c>
      <c r="Q77" s="84">
        <f t="shared" si="152"/>
        <v>0</v>
      </c>
      <c r="R77" s="84">
        <f t="shared" si="152"/>
        <v>0</v>
      </c>
      <c r="S77" s="84">
        <f t="shared" si="152"/>
        <v>0</v>
      </c>
      <c r="T77" s="84">
        <f t="shared" si="152"/>
        <v>0</v>
      </c>
      <c r="U77" s="589"/>
      <c r="V77" s="84">
        <f t="shared" ref="V77:AJ77" si="153">V30*V$50</f>
        <v>0</v>
      </c>
      <c r="W77" s="84">
        <f t="shared" si="153"/>
        <v>0</v>
      </c>
      <c r="X77" s="84">
        <f t="shared" si="153"/>
        <v>0</v>
      </c>
      <c r="Y77" s="84">
        <f t="shared" si="153"/>
        <v>0</v>
      </c>
      <c r="Z77" s="84">
        <f t="shared" si="153"/>
        <v>0</v>
      </c>
      <c r="AA77" s="84">
        <f t="shared" si="153"/>
        <v>0</v>
      </c>
      <c r="AB77" s="84">
        <f t="shared" si="153"/>
        <v>0</v>
      </c>
      <c r="AC77" s="84">
        <f t="shared" si="153"/>
        <v>0</v>
      </c>
      <c r="AD77" s="84">
        <f t="shared" si="153"/>
        <v>0</v>
      </c>
      <c r="AE77" s="84">
        <f t="shared" si="153"/>
        <v>0</v>
      </c>
      <c r="AF77" s="84">
        <f t="shared" si="153"/>
        <v>0</v>
      </c>
      <c r="AG77" s="84">
        <f t="shared" si="153"/>
        <v>0</v>
      </c>
      <c r="AH77" s="84">
        <f t="shared" si="153"/>
        <v>0</v>
      </c>
      <c r="AI77" s="84">
        <f t="shared" si="153"/>
        <v>0</v>
      </c>
      <c r="AJ77" s="84">
        <f t="shared" si="153"/>
        <v>0</v>
      </c>
      <c r="AK77" s="589"/>
      <c r="AL77" s="84">
        <f t="shared" ref="AL77:AO77" si="154">AL30*AL$50</f>
        <v>0</v>
      </c>
      <c r="AM77" s="84">
        <f t="shared" si="154"/>
        <v>0</v>
      </c>
      <c r="AN77" s="84">
        <f t="shared" si="154"/>
        <v>0</v>
      </c>
      <c r="AO77" s="84">
        <f t="shared" si="154"/>
        <v>0</v>
      </c>
      <c r="AP77" s="593"/>
      <c r="AQ77" s="332">
        <f t="shared" ref="AQ77:BC77" si="155">AQ30*AQ$50</f>
        <v>0</v>
      </c>
      <c r="AR77" s="332">
        <f t="shared" si="155"/>
        <v>0</v>
      </c>
      <c r="AS77" s="332">
        <f t="shared" si="155"/>
        <v>0</v>
      </c>
      <c r="AT77" s="332">
        <f t="shared" si="155"/>
        <v>0</v>
      </c>
      <c r="AU77" s="332">
        <f t="shared" si="155"/>
        <v>0</v>
      </c>
      <c r="AV77" s="332">
        <f t="shared" si="155"/>
        <v>0</v>
      </c>
      <c r="AW77" s="306">
        <f t="shared" si="155"/>
        <v>0</v>
      </c>
      <c r="AX77" s="306">
        <f t="shared" si="155"/>
        <v>0</v>
      </c>
      <c r="AY77" s="306">
        <f t="shared" si="155"/>
        <v>0</v>
      </c>
      <c r="AZ77" s="306">
        <f t="shared" si="155"/>
        <v>3854405.0235478813</v>
      </c>
      <c r="BA77" s="306">
        <f t="shared" si="155"/>
        <v>0</v>
      </c>
      <c r="BB77" s="306">
        <f t="shared" si="155"/>
        <v>0</v>
      </c>
      <c r="BC77" s="306">
        <f t="shared" si="155"/>
        <v>0</v>
      </c>
      <c r="BD77" s="589"/>
      <c r="BE77" s="84">
        <f t="shared" ref="BE77:BH77" si="156">BE30*BE$50</f>
        <v>0</v>
      </c>
      <c r="BF77" s="84">
        <f t="shared" si="156"/>
        <v>0</v>
      </c>
      <c r="BG77" s="84">
        <f t="shared" si="156"/>
        <v>0</v>
      </c>
      <c r="BH77" s="84">
        <f t="shared" si="156"/>
        <v>0</v>
      </c>
      <c r="BI77" s="589"/>
      <c r="BJ77" s="84">
        <f t="shared" ref="BJ77:BW77" si="157">BJ30*BJ$50/60</f>
        <v>0</v>
      </c>
      <c r="BK77" s="84">
        <f t="shared" si="157"/>
        <v>0</v>
      </c>
      <c r="BL77" s="84">
        <f t="shared" si="157"/>
        <v>0</v>
      </c>
      <c r="BM77" s="84">
        <f t="shared" si="157"/>
        <v>0</v>
      </c>
      <c r="BN77" s="84">
        <f t="shared" si="157"/>
        <v>0</v>
      </c>
      <c r="BO77" s="84">
        <f t="shared" si="157"/>
        <v>0</v>
      </c>
      <c r="BP77" s="84">
        <f t="shared" si="157"/>
        <v>0</v>
      </c>
      <c r="BQ77" s="84">
        <f t="shared" si="157"/>
        <v>0</v>
      </c>
      <c r="BR77" s="84">
        <f t="shared" si="157"/>
        <v>0</v>
      </c>
      <c r="BS77" s="84">
        <f t="shared" si="157"/>
        <v>0</v>
      </c>
      <c r="BT77" s="84">
        <f t="shared" si="157"/>
        <v>0</v>
      </c>
      <c r="BU77" s="84">
        <f t="shared" si="157"/>
        <v>0</v>
      </c>
      <c r="BV77" s="84">
        <f t="shared" si="157"/>
        <v>0</v>
      </c>
      <c r="BW77" s="84">
        <f t="shared" si="157"/>
        <v>0</v>
      </c>
      <c r="BX77" s="595"/>
      <c r="BY77" s="100">
        <f t="shared" si="17"/>
        <v>3854405.0235478813</v>
      </c>
    </row>
    <row r="78" spans="1:81" x14ac:dyDescent="0.25">
      <c r="A78" s="418">
        <f t="shared" si="67"/>
        <v>27</v>
      </c>
      <c r="B78" s="96" t="str">
        <f t="shared" si="54"/>
        <v>NV28</v>
      </c>
      <c r="C78" s="96" t="str">
        <f t="shared" si="54"/>
        <v>Hà Thanh Truyền</v>
      </c>
      <c r="D78" s="96" t="str">
        <f t="shared" si="54"/>
        <v>Lái xe cơ giới</v>
      </c>
      <c r="E78" s="84">
        <f t="shared" ref="E78:T78" si="158">E31*E$50</f>
        <v>0</v>
      </c>
      <c r="F78" s="84">
        <f t="shared" si="158"/>
        <v>0</v>
      </c>
      <c r="G78" s="84">
        <f t="shared" si="158"/>
        <v>0</v>
      </c>
      <c r="H78" s="84">
        <f t="shared" si="158"/>
        <v>0</v>
      </c>
      <c r="I78" s="84">
        <f t="shared" si="158"/>
        <v>0</v>
      </c>
      <c r="J78" s="84">
        <f t="shared" si="158"/>
        <v>0</v>
      </c>
      <c r="K78" s="84">
        <f t="shared" si="158"/>
        <v>0</v>
      </c>
      <c r="L78" s="84">
        <f t="shared" si="158"/>
        <v>0</v>
      </c>
      <c r="M78" s="84">
        <f t="shared" si="158"/>
        <v>0</v>
      </c>
      <c r="N78" s="84">
        <f t="shared" si="158"/>
        <v>0</v>
      </c>
      <c r="O78" s="84">
        <f t="shared" si="158"/>
        <v>0</v>
      </c>
      <c r="P78" s="84">
        <f t="shared" si="158"/>
        <v>0</v>
      </c>
      <c r="Q78" s="84">
        <f t="shared" si="158"/>
        <v>0</v>
      </c>
      <c r="R78" s="84">
        <f t="shared" si="158"/>
        <v>0</v>
      </c>
      <c r="S78" s="84">
        <f t="shared" si="158"/>
        <v>0</v>
      </c>
      <c r="T78" s="84">
        <f t="shared" si="158"/>
        <v>0</v>
      </c>
      <c r="U78" s="589"/>
      <c r="V78" s="84">
        <f t="shared" ref="V78:AJ78" si="159">V31*V$50</f>
        <v>0</v>
      </c>
      <c r="W78" s="84">
        <f t="shared" si="159"/>
        <v>0</v>
      </c>
      <c r="X78" s="84">
        <f t="shared" si="159"/>
        <v>0</v>
      </c>
      <c r="Y78" s="84">
        <f t="shared" si="159"/>
        <v>0</v>
      </c>
      <c r="Z78" s="84">
        <f t="shared" si="159"/>
        <v>0</v>
      </c>
      <c r="AA78" s="84">
        <f t="shared" si="159"/>
        <v>0</v>
      </c>
      <c r="AB78" s="84">
        <f t="shared" si="159"/>
        <v>0</v>
      </c>
      <c r="AC78" s="84">
        <f t="shared" si="159"/>
        <v>0</v>
      </c>
      <c r="AD78" s="84">
        <f t="shared" si="159"/>
        <v>0</v>
      </c>
      <c r="AE78" s="84">
        <f t="shared" si="159"/>
        <v>0</v>
      </c>
      <c r="AF78" s="84">
        <f t="shared" si="159"/>
        <v>0</v>
      </c>
      <c r="AG78" s="84">
        <f t="shared" si="159"/>
        <v>0</v>
      </c>
      <c r="AH78" s="84">
        <f t="shared" si="159"/>
        <v>0</v>
      </c>
      <c r="AI78" s="84">
        <f t="shared" si="159"/>
        <v>0</v>
      </c>
      <c r="AJ78" s="84">
        <f t="shared" si="159"/>
        <v>0</v>
      </c>
      <c r="AK78" s="589"/>
      <c r="AL78" s="84">
        <f t="shared" ref="AL78:AO78" si="160">AL31*AL$50</f>
        <v>0</v>
      </c>
      <c r="AM78" s="84">
        <f t="shared" si="160"/>
        <v>0</v>
      </c>
      <c r="AN78" s="84">
        <f t="shared" si="160"/>
        <v>0</v>
      </c>
      <c r="AO78" s="84">
        <f t="shared" si="160"/>
        <v>0</v>
      </c>
      <c r="AP78" s="593"/>
      <c r="AQ78" s="332">
        <f t="shared" ref="AQ78:BC78" si="161">AQ31*AQ$50</f>
        <v>0</v>
      </c>
      <c r="AR78" s="332">
        <f t="shared" si="161"/>
        <v>0</v>
      </c>
      <c r="AS78" s="332">
        <f t="shared" si="161"/>
        <v>0</v>
      </c>
      <c r="AT78" s="332">
        <f t="shared" si="161"/>
        <v>7241350.0784929348</v>
      </c>
      <c r="AU78" s="332">
        <f t="shared" si="161"/>
        <v>0</v>
      </c>
      <c r="AV78" s="332">
        <f t="shared" si="161"/>
        <v>0</v>
      </c>
      <c r="AW78" s="306">
        <f t="shared" si="161"/>
        <v>0</v>
      </c>
      <c r="AX78" s="306">
        <f t="shared" si="161"/>
        <v>0</v>
      </c>
      <c r="AY78" s="306">
        <f t="shared" si="161"/>
        <v>0</v>
      </c>
      <c r="AZ78" s="306">
        <f t="shared" si="161"/>
        <v>0</v>
      </c>
      <c r="BA78" s="306">
        <f t="shared" si="161"/>
        <v>0</v>
      </c>
      <c r="BB78" s="306">
        <f t="shared" si="161"/>
        <v>0</v>
      </c>
      <c r="BC78" s="306">
        <f t="shared" si="161"/>
        <v>0</v>
      </c>
      <c r="BD78" s="589"/>
      <c r="BE78" s="84">
        <f t="shared" ref="BE78:BH78" si="162">BE31*BE$50</f>
        <v>0</v>
      </c>
      <c r="BF78" s="84">
        <f t="shared" si="162"/>
        <v>0</v>
      </c>
      <c r="BG78" s="84">
        <f t="shared" si="162"/>
        <v>0</v>
      </c>
      <c r="BH78" s="84">
        <f t="shared" si="162"/>
        <v>0</v>
      </c>
      <c r="BI78" s="589"/>
      <c r="BJ78" s="84">
        <f t="shared" ref="BJ78:BW78" si="163">BJ31*BJ$50/60</f>
        <v>0</v>
      </c>
      <c r="BK78" s="84">
        <f t="shared" si="163"/>
        <v>0</v>
      </c>
      <c r="BL78" s="84">
        <f t="shared" si="163"/>
        <v>0</v>
      </c>
      <c r="BM78" s="84">
        <f t="shared" si="163"/>
        <v>0</v>
      </c>
      <c r="BN78" s="84">
        <f t="shared" si="163"/>
        <v>0</v>
      </c>
      <c r="BO78" s="84">
        <f t="shared" si="163"/>
        <v>0</v>
      </c>
      <c r="BP78" s="84">
        <f t="shared" si="163"/>
        <v>0</v>
      </c>
      <c r="BQ78" s="84">
        <f t="shared" si="163"/>
        <v>0</v>
      </c>
      <c r="BR78" s="84">
        <f t="shared" si="163"/>
        <v>0</v>
      </c>
      <c r="BS78" s="84">
        <f t="shared" si="163"/>
        <v>0</v>
      </c>
      <c r="BT78" s="84">
        <f t="shared" si="163"/>
        <v>0</v>
      </c>
      <c r="BU78" s="84">
        <f t="shared" si="163"/>
        <v>0</v>
      </c>
      <c r="BV78" s="84">
        <f t="shared" si="163"/>
        <v>0</v>
      </c>
      <c r="BW78" s="84">
        <f t="shared" si="163"/>
        <v>0</v>
      </c>
      <c r="BX78" s="595"/>
      <c r="BY78" s="100">
        <f t="shared" si="17"/>
        <v>7241350.0784929348</v>
      </c>
    </row>
    <row r="79" spans="1:81" x14ac:dyDescent="0.25">
      <c r="A79" s="418">
        <f t="shared" si="67"/>
        <v>12</v>
      </c>
      <c r="B79" s="96" t="str">
        <f t="shared" si="54"/>
        <v>NV29</v>
      </c>
      <c r="C79" s="96" t="str">
        <f t="shared" si="54"/>
        <v>Phan Văn Bạn</v>
      </c>
      <c r="D79" s="96" t="str">
        <f t="shared" si="54"/>
        <v>Lái xe cơ giới</v>
      </c>
      <c r="E79" s="84">
        <f t="shared" ref="E79:T79" si="164">E32*E$50</f>
        <v>0</v>
      </c>
      <c r="F79" s="84">
        <f t="shared" si="164"/>
        <v>0</v>
      </c>
      <c r="G79" s="84">
        <f t="shared" si="164"/>
        <v>0</v>
      </c>
      <c r="H79" s="84">
        <f t="shared" si="164"/>
        <v>0</v>
      </c>
      <c r="I79" s="84">
        <f t="shared" si="164"/>
        <v>0</v>
      </c>
      <c r="J79" s="84">
        <f t="shared" si="164"/>
        <v>0</v>
      </c>
      <c r="K79" s="84">
        <f t="shared" si="164"/>
        <v>0</v>
      </c>
      <c r="L79" s="84">
        <f t="shared" si="164"/>
        <v>0</v>
      </c>
      <c r="M79" s="84">
        <f t="shared" si="164"/>
        <v>0</v>
      </c>
      <c r="N79" s="84">
        <f t="shared" si="164"/>
        <v>0</v>
      </c>
      <c r="O79" s="84">
        <f t="shared" si="164"/>
        <v>0</v>
      </c>
      <c r="P79" s="84">
        <f t="shared" si="164"/>
        <v>0</v>
      </c>
      <c r="Q79" s="84">
        <f t="shared" si="164"/>
        <v>0</v>
      </c>
      <c r="R79" s="84">
        <f t="shared" si="164"/>
        <v>0</v>
      </c>
      <c r="S79" s="84">
        <f t="shared" si="164"/>
        <v>0</v>
      </c>
      <c r="T79" s="84">
        <f t="shared" si="164"/>
        <v>0</v>
      </c>
      <c r="U79" s="589"/>
      <c r="V79" s="84">
        <f t="shared" ref="V79:AJ79" si="165">V32*V$50</f>
        <v>0</v>
      </c>
      <c r="W79" s="84">
        <f t="shared" si="165"/>
        <v>0</v>
      </c>
      <c r="X79" s="84">
        <f t="shared" si="165"/>
        <v>0</v>
      </c>
      <c r="Y79" s="84">
        <f t="shared" si="165"/>
        <v>0</v>
      </c>
      <c r="Z79" s="84">
        <f t="shared" si="165"/>
        <v>0</v>
      </c>
      <c r="AA79" s="84">
        <f t="shared" si="165"/>
        <v>0</v>
      </c>
      <c r="AB79" s="84">
        <f t="shared" si="165"/>
        <v>0</v>
      </c>
      <c r="AC79" s="84">
        <f t="shared" si="165"/>
        <v>0</v>
      </c>
      <c r="AD79" s="84">
        <f t="shared" si="165"/>
        <v>0</v>
      </c>
      <c r="AE79" s="84">
        <f t="shared" si="165"/>
        <v>0</v>
      </c>
      <c r="AF79" s="84">
        <f t="shared" si="165"/>
        <v>0</v>
      </c>
      <c r="AG79" s="84">
        <f t="shared" si="165"/>
        <v>0</v>
      </c>
      <c r="AH79" s="84">
        <f t="shared" si="165"/>
        <v>0</v>
      </c>
      <c r="AI79" s="84">
        <f t="shared" si="165"/>
        <v>0</v>
      </c>
      <c r="AJ79" s="84">
        <f t="shared" si="165"/>
        <v>0</v>
      </c>
      <c r="AK79" s="589"/>
      <c r="AL79" s="84">
        <f t="shared" ref="AL79:AO79" si="166">AL32*AL$50</f>
        <v>7793446.153846154</v>
      </c>
      <c r="AM79" s="84">
        <f t="shared" si="166"/>
        <v>2063405.7692307692</v>
      </c>
      <c r="AN79" s="84">
        <f t="shared" si="166"/>
        <v>0</v>
      </c>
      <c r="AO79" s="84">
        <f t="shared" si="166"/>
        <v>2662875</v>
      </c>
      <c r="AP79" s="593"/>
      <c r="AQ79" s="332">
        <f t="shared" ref="AQ79:BC79" si="167">AQ32*AQ$50</f>
        <v>0</v>
      </c>
      <c r="AR79" s="332">
        <f t="shared" si="167"/>
        <v>0</v>
      </c>
      <c r="AS79" s="332">
        <f t="shared" si="167"/>
        <v>0</v>
      </c>
      <c r="AT79" s="332">
        <f t="shared" si="167"/>
        <v>0</v>
      </c>
      <c r="AU79" s="332">
        <f t="shared" si="167"/>
        <v>0</v>
      </c>
      <c r="AV79" s="332">
        <f t="shared" si="167"/>
        <v>0</v>
      </c>
      <c r="AW79" s="306">
        <f t="shared" si="167"/>
        <v>0</v>
      </c>
      <c r="AX79" s="306">
        <f t="shared" si="167"/>
        <v>0</v>
      </c>
      <c r="AY79" s="306">
        <f t="shared" si="167"/>
        <v>0</v>
      </c>
      <c r="AZ79" s="306">
        <f t="shared" si="167"/>
        <v>0</v>
      </c>
      <c r="BA79" s="306">
        <f t="shared" si="167"/>
        <v>0</v>
      </c>
      <c r="BB79" s="306">
        <f t="shared" si="167"/>
        <v>0</v>
      </c>
      <c r="BC79" s="306">
        <f t="shared" si="167"/>
        <v>0</v>
      </c>
      <c r="BD79" s="589"/>
      <c r="BE79" s="84">
        <f t="shared" ref="BE79:BH79" si="168">BE32*BE$50</f>
        <v>0</v>
      </c>
      <c r="BF79" s="84">
        <f t="shared" si="168"/>
        <v>0</v>
      </c>
      <c r="BG79" s="84">
        <f t="shared" si="168"/>
        <v>0</v>
      </c>
      <c r="BH79" s="84">
        <f t="shared" si="168"/>
        <v>0</v>
      </c>
      <c r="BI79" s="589"/>
      <c r="BJ79" s="84">
        <f t="shared" ref="BJ79:BW79" si="169">BJ32*BJ$50/60</f>
        <v>0</v>
      </c>
      <c r="BK79" s="84">
        <f t="shared" si="169"/>
        <v>0</v>
      </c>
      <c r="BL79" s="84">
        <f t="shared" si="169"/>
        <v>0</v>
      </c>
      <c r="BM79" s="84">
        <f t="shared" si="169"/>
        <v>0</v>
      </c>
      <c r="BN79" s="84">
        <f t="shared" si="169"/>
        <v>0</v>
      </c>
      <c r="BO79" s="84">
        <f t="shared" si="169"/>
        <v>0</v>
      </c>
      <c r="BP79" s="84">
        <f t="shared" si="169"/>
        <v>0</v>
      </c>
      <c r="BQ79" s="84">
        <f t="shared" si="169"/>
        <v>0</v>
      </c>
      <c r="BR79" s="84">
        <f t="shared" si="169"/>
        <v>0</v>
      </c>
      <c r="BS79" s="84">
        <f t="shared" si="169"/>
        <v>0</v>
      </c>
      <c r="BT79" s="84">
        <f t="shared" si="169"/>
        <v>48076.923076923078</v>
      </c>
      <c r="BU79" s="84">
        <f t="shared" si="169"/>
        <v>0</v>
      </c>
      <c r="BV79" s="84">
        <f t="shared" si="169"/>
        <v>0</v>
      </c>
      <c r="BW79" s="84">
        <f t="shared" si="169"/>
        <v>0</v>
      </c>
      <c r="BX79" s="595"/>
      <c r="BY79" s="100">
        <f t="shared" si="17"/>
        <v>12567803.846153848</v>
      </c>
    </row>
    <row r="80" spans="1:81" x14ac:dyDescent="0.25">
      <c r="A80" s="418">
        <f t="shared" si="67"/>
        <v>28</v>
      </c>
      <c r="B80" s="96" t="str">
        <f t="shared" si="54"/>
        <v>NV30</v>
      </c>
      <c r="C80" s="96" t="str">
        <f t="shared" si="54"/>
        <v>Lê Minh Trọng</v>
      </c>
      <c r="D80" s="96" t="str">
        <f t="shared" si="54"/>
        <v>Lái xe cơ giới</v>
      </c>
      <c r="E80" s="84">
        <f t="shared" ref="E80:T80" si="170">E33*E$50</f>
        <v>0</v>
      </c>
      <c r="F80" s="84">
        <f t="shared" si="170"/>
        <v>0</v>
      </c>
      <c r="G80" s="84">
        <f t="shared" si="170"/>
        <v>0</v>
      </c>
      <c r="H80" s="84">
        <f t="shared" si="170"/>
        <v>0</v>
      </c>
      <c r="I80" s="84">
        <f t="shared" si="170"/>
        <v>0</v>
      </c>
      <c r="J80" s="84">
        <f t="shared" si="170"/>
        <v>0</v>
      </c>
      <c r="K80" s="84">
        <f t="shared" si="170"/>
        <v>0</v>
      </c>
      <c r="L80" s="84">
        <f t="shared" si="170"/>
        <v>0</v>
      </c>
      <c r="M80" s="84">
        <f t="shared" si="170"/>
        <v>0</v>
      </c>
      <c r="N80" s="84">
        <f t="shared" si="170"/>
        <v>0</v>
      </c>
      <c r="O80" s="84">
        <f t="shared" si="170"/>
        <v>0</v>
      </c>
      <c r="P80" s="84">
        <f t="shared" si="170"/>
        <v>0</v>
      </c>
      <c r="Q80" s="84">
        <f t="shared" si="170"/>
        <v>0</v>
      </c>
      <c r="R80" s="84">
        <f t="shared" si="170"/>
        <v>0</v>
      </c>
      <c r="S80" s="84">
        <f t="shared" si="170"/>
        <v>0</v>
      </c>
      <c r="T80" s="84">
        <f t="shared" si="170"/>
        <v>0</v>
      </c>
      <c r="U80" s="589"/>
      <c r="V80" s="84">
        <f t="shared" ref="V80:AJ80" si="171">V33*V$50</f>
        <v>0</v>
      </c>
      <c r="W80" s="84">
        <f t="shared" si="171"/>
        <v>0</v>
      </c>
      <c r="X80" s="84">
        <f t="shared" si="171"/>
        <v>0</v>
      </c>
      <c r="Y80" s="84">
        <f t="shared" si="171"/>
        <v>0</v>
      </c>
      <c r="Z80" s="84">
        <f t="shared" si="171"/>
        <v>0</v>
      </c>
      <c r="AA80" s="84">
        <f t="shared" si="171"/>
        <v>0</v>
      </c>
      <c r="AB80" s="84">
        <f t="shared" si="171"/>
        <v>0</v>
      </c>
      <c r="AC80" s="84">
        <f t="shared" si="171"/>
        <v>0</v>
      </c>
      <c r="AD80" s="84">
        <f t="shared" si="171"/>
        <v>0</v>
      </c>
      <c r="AE80" s="84">
        <f t="shared" si="171"/>
        <v>0</v>
      </c>
      <c r="AF80" s="84">
        <f t="shared" si="171"/>
        <v>0</v>
      </c>
      <c r="AG80" s="84">
        <f t="shared" si="171"/>
        <v>0</v>
      </c>
      <c r="AH80" s="84">
        <f t="shared" si="171"/>
        <v>0</v>
      </c>
      <c r="AI80" s="84">
        <f t="shared" si="171"/>
        <v>0</v>
      </c>
      <c r="AJ80" s="84">
        <f t="shared" si="171"/>
        <v>0</v>
      </c>
      <c r="AK80" s="589"/>
      <c r="AL80" s="84">
        <f t="shared" ref="AL80:AO80" si="172">AL33*AL$50</f>
        <v>0</v>
      </c>
      <c r="AM80" s="84">
        <f t="shared" si="172"/>
        <v>0</v>
      </c>
      <c r="AN80" s="84">
        <f t="shared" si="172"/>
        <v>0</v>
      </c>
      <c r="AO80" s="84">
        <f t="shared" si="172"/>
        <v>0</v>
      </c>
      <c r="AP80" s="593"/>
      <c r="AQ80" s="332">
        <f t="shared" ref="AQ80:BC80" si="173">AQ33*AQ$50</f>
        <v>0</v>
      </c>
      <c r="AR80" s="332">
        <f t="shared" si="173"/>
        <v>0</v>
      </c>
      <c r="AS80" s="332">
        <f t="shared" si="173"/>
        <v>0</v>
      </c>
      <c r="AT80" s="332">
        <f t="shared" si="173"/>
        <v>0</v>
      </c>
      <c r="AU80" s="332">
        <f t="shared" si="173"/>
        <v>0</v>
      </c>
      <c r="AV80" s="332">
        <f t="shared" si="173"/>
        <v>0</v>
      </c>
      <c r="AW80" s="306">
        <f t="shared" si="173"/>
        <v>0</v>
      </c>
      <c r="AX80" s="306">
        <f t="shared" si="173"/>
        <v>2428571.4285714286</v>
      </c>
      <c r="AY80" s="306">
        <f t="shared" si="173"/>
        <v>0</v>
      </c>
      <c r="AZ80" s="306">
        <f t="shared" si="173"/>
        <v>0</v>
      </c>
      <c r="BA80" s="306">
        <f t="shared" si="173"/>
        <v>0</v>
      </c>
      <c r="BB80" s="306">
        <f t="shared" si="173"/>
        <v>0</v>
      </c>
      <c r="BC80" s="306">
        <f t="shared" si="173"/>
        <v>0</v>
      </c>
      <c r="BD80" s="589"/>
      <c r="BE80" s="84">
        <f t="shared" ref="BE80:BH80" si="174">BE33*BE$50</f>
        <v>0</v>
      </c>
      <c r="BF80" s="84">
        <f t="shared" si="174"/>
        <v>0</v>
      </c>
      <c r="BG80" s="84">
        <f t="shared" si="174"/>
        <v>0</v>
      </c>
      <c r="BH80" s="84">
        <f t="shared" si="174"/>
        <v>0</v>
      </c>
      <c r="BI80" s="589"/>
      <c r="BJ80" s="84">
        <f t="shared" ref="BJ80:BW80" si="175">BJ33*BJ$50/60</f>
        <v>0</v>
      </c>
      <c r="BK80" s="84">
        <f t="shared" si="175"/>
        <v>0</v>
      </c>
      <c r="BL80" s="84">
        <f t="shared" si="175"/>
        <v>0</v>
      </c>
      <c r="BM80" s="84">
        <f t="shared" si="175"/>
        <v>0</v>
      </c>
      <c r="BN80" s="84">
        <f t="shared" si="175"/>
        <v>0</v>
      </c>
      <c r="BO80" s="84">
        <f t="shared" si="175"/>
        <v>0</v>
      </c>
      <c r="BP80" s="84">
        <f t="shared" si="175"/>
        <v>0</v>
      </c>
      <c r="BQ80" s="84">
        <f t="shared" si="175"/>
        <v>0</v>
      </c>
      <c r="BR80" s="84">
        <f t="shared" si="175"/>
        <v>0</v>
      </c>
      <c r="BS80" s="84">
        <f t="shared" si="175"/>
        <v>0</v>
      </c>
      <c r="BT80" s="84">
        <f t="shared" si="175"/>
        <v>0</v>
      </c>
      <c r="BU80" s="84">
        <f t="shared" si="175"/>
        <v>0</v>
      </c>
      <c r="BV80" s="84">
        <f t="shared" si="175"/>
        <v>0</v>
      </c>
      <c r="BW80" s="84">
        <f t="shared" si="175"/>
        <v>0</v>
      </c>
      <c r="BX80" s="595"/>
      <c r="BY80" s="100">
        <f t="shared" si="17"/>
        <v>2428571.4285714286</v>
      </c>
      <c r="CC80" s="108"/>
    </row>
    <row r="81" spans="1:84" s="54" customFormat="1" x14ac:dyDescent="0.25">
      <c r="A81" s="418">
        <f t="shared" si="67"/>
        <v>29</v>
      </c>
      <c r="B81" s="96" t="str">
        <f t="shared" si="54"/>
        <v>NV31</v>
      </c>
      <c r="C81" s="96" t="str">
        <f t="shared" si="54"/>
        <v>Nguyễn Văn Lâm</v>
      </c>
      <c r="D81" s="96" t="str">
        <f t="shared" si="54"/>
        <v>Lái xe cơ giới</v>
      </c>
      <c r="E81" s="84">
        <f t="shared" ref="E81:T81" si="176">E34*E$50</f>
        <v>0</v>
      </c>
      <c r="F81" s="84">
        <f t="shared" si="176"/>
        <v>0</v>
      </c>
      <c r="G81" s="84">
        <f t="shared" si="176"/>
        <v>0</v>
      </c>
      <c r="H81" s="84">
        <f t="shared" si="176"/>
        <v>0</v>
      </c>
      <c r="I81" s="84">
        <f t="shared" si="176"/>
        <v>0</v>
      </c>
      <c r="J81" s="84">
        <f t="shared" si="176"/>
        <v>0</v>
      </c>
      <c r="K81" s="84">
        <f t="shared" si="176"/>
        <v>0</v>
      </c>
      <c r="L81" s="84">
        <f t="shared" si="176"/>
        <v>0</v>
      </c>
      <c r="M81" s="84">
        <f t="shared" si="176"/>
        <v>0</v>
      </c>
      <c r="N81" s="84">
        <f t="shared" si="176"/>
        <v>0</v>
      </c>
      <c r="O81" s="84">
        <f t="shared" si="176"/>
        <v>0</v>
      </c>
      <c r="P81" s="84">
        <f t="shared" si="176"/>
        <v>0</v>
      </c>
      <c r="Q81" s="84">
        <f t="shared" si="176"/>
        <v>0</v>
      </c>
      <c r="R81" s="84">
        <f t="shared" si="176"/>
        <v>0</v>
      </c>
      <c r="S81" s="84">
        <f t="shared" si="176"/>
        <v>0</v>
      </c>
      <c r="T81" s="84">
        <f t="shared" si="176"/>
        <v>0</v>
      </c>
      <c r="U81" s="589"/>
      <c r="V81" s="84">
        <f t="shared" ref="V81:AJ81" si="177">V34*V$50</f>
        <v>0</v>
      </c>
      <c r="W81" s="84">
        <f t="shared" si="177"/>
        <v>0</v>
      </c>
      <c r="X81" s="84">
        <f t="shared" si="177"/>
        <v>0</v>
      </c>
      <c r="Y81" s="84">
        <f t="shared" si="177"/>
        <v>0</v>
      </c>
      <c r="Z81" s="84">
        <f t="shared" si="177"/>
        <v>0</v>
      </c>
      <c r="AA81" s="84">
        <f t="shared" si="177"/>
        <v>0</v>
      </c>
      <c r="AB81" s="84">
        <f t="shared" si="177"/>
        <v>0</v>
      </c>
      <c r="AC81" s="84">
        <f t="shared" si="177"/>
        <v>0</v>
      </c>
      <c r="AD81" s="84">
        <f t="shared" si="177"/>
        <v>0</v>
      </c>
      <c r="AE81" s="84">
        <f t="shared" si="177"/>
        <v>0</v>
      </c>
      <c r="AF81" s="84">
        <f t="shared" si="177"/>
        <v>0</v>
      </c>
      <c r="AG81" s="84">
        <f t="shared" si="177"/>
        <v>0</v>
      </c>
      <c r="AH81" s="84">
        <f t="shared" si="177"/>
        <v>0</v>
      </c>
      <c r="AI81" s="84">
        <f t="shared" si="177"/>
        <v>0</v>
      </c>
      <c r="AJ81" s="84">
        <f t="shared" si="177"/>
        <v>0</v>
      </c>
      <c r="AK81" s="589"/>
      <c r="AL81" s="84">
        <f t="shared" ref="AL81:AO81" si="178">AL34*AL$50</f>
        <v>0</v>
      </c>
      <c r="AM81" s="84">
        <f t="shared" si="178"/>
        <v>0</v>
      </c>
      <c r="AN81" s="84">
        <f t="shared" si="178"/>
        <v>0</v>
      </c>
      <c r="AO81" s="84">
        <f t="shared" si="178"/>
        <v>0</v>
      </c>
      <c r="AP81" s="593"/>
      <c r="AQ81" s="332">
        <f t="shared" ref="AQ81:BC81" si="179">AQ34*AQ$50</f>
        <v>0</v>
      </c>
      <c r="AR81" s="332">
        <f t="shared" si="179"/>
        <v>0</v>
      </c>
      <c r="AS81" s="332">
        <f t="shared" si="179"/>
        <v>0</v>
      </c>
      <c r="AT81" s="332">
        <f t="shared" si="179"/>
        <v>0</v>
      </c>
      <c r="AU81" s="332">
        <f t="shared" si="179"/>
        <v>0</v>
      </c>
      <c r="AV81" s="332">
        <f t="shared" si="179"/>
        <v>0</v>
      </c>
      <c r="AW81" s="306">
        <f t="shared" si="179"/>
        <v>7411616.954474098</v>
      </c>
      <c r="AX81" s="306">
        <f t="shared" si="179"/>
        <v>0</v>
      </c>
      <c r="AY81" s="306">
        <f t="shared" si="179"/>
        <v>0</v>
      </c>
      <c r="AZ81" s="306">
        <f t="shared" si="179"/>
        <v>0</v>
      </c>
      <c r="BA81" s="306">
        <f t="shared" si="179"/>
        <v>0</v>
      </c>
      <c r="BB81" s="306">
        <f t="shared" si="179"/>
        <v>0</v>
      </c>
      <c r="BC81" s="306">
        <f t="shared" si="179"/>
        <v>0</v>
      </c>
      <c r="BD81" s="589"/>
      <c r="BE81" s="84">
        <f t="shared" ref="BE81:BH81" si="180">BE34*BE$50</f>
        <v>0</v>
      </c>
      <c r="BF81" s="84">
        <f t="shared" si="180"/>
        <v>0</v>
      </c>
      <c r="BG81" s="84">
        <f t="shared" si="180"/>
        <v>0</v>
      </c>
      <c r="BH81" s="84">
        <f t="shared" si="180"/>
        <v>0</v>
      </c>
      <c r="BI81" s="589"/>
      <c r="BJ81" s="84">
        <f t="shared" ref="BJ81:BW81" si="181">BJ34*BJ$50/60</f>
        <v>0</v>
      </c>
      <c r="BK81" s="84">
        <f t="shared" si="181"/>
        <v>0</v>
      </c>
      <c r="BL81" s="84">
        <f t="shared" si="181"/>
        <v>0</v>
      </c>
      <c r="BM81" s="84">
        <f t="shared" si="181"/>
        <v>0</v>
      </c>
      <c r="BN81" s="84">
        <f t="shared" si="181"/>
        <v>0</v>
      </c>
      <c r="BO81" s="84">
        <f t="shared" si="181"/>
        <v>0</v>
      </c>
      <c r="BP81" s="84">
        <f t="shared" si="181"/>
        <v>0</v>
      </c>
      <c r="BQ81" s="84">
        <f t="shared" si="181"/>
        <v>0</v>
      </c>
      <c r="BR81" s="84">
        <f t="shared" si="181"/>
        <v>0</v>
      </c>
      <c r="BS81" s="84">
        <f t="shared" si="181"/>
        <v>0</v>
      </c>
      <c r="BT81" s="84">
        <f t="shared" si="181"/>
        <v>0</v>
      </c>
      <c r="BU81" s="84">
        <f t="shared" si="181"/>
        <v>0</v>
      </c>
      <c r="BV81" s="84">
        <f t="shared" si="181"/>
        <v>0</v>
      </c>
      <c r="BW81" s="84">
        <f t="shared" si="181"/>
        <v>0</v>
      </c>
      <c r="BX81" s="595"/>
      <c r="BY81" s="100">
        <f t="shared" si="17"/>
        <v>7411616.954474098</v>
      </c>
      <c r="CC81" s="108"/>
      <c r="CD81"/>
      <c r="CE81"/>
      <c r="CF81"/>
    </row>
    <row r="82" spans="1:84" s="54" customFormat="1" ht="22.5" x14ac:dyDescent="0.25">
      <c r="A82" s="418">
        <f t="shared" si="67"/>
        <v>30</v>
      </c>
      <c r="B82" s="96" t="str">
        <f t="shared" si="54"/>
        <v>NV32</v>
      </c>
      <c r="C82" s="96" t="str">
        <f t="shared" si="54"/>
        <v>Lương Minh Tâm</v>
      </c>
      <c r="D82" s="96" t="str">
        <f t="shared" si="54"/>
        <v>Vận hành xe xúc BH</v>
      </c>
      <c r="E82" s="84">
        <f t="shared" ref="E82:T82" si="182">E35*E$50</f>
        <v>0</v>
      </c>
      <c r="F82" s="84">
        <f t="shared" si="182"/>
        <v>0</v>
      </c>
      <c r="G82" s="84">
        <f t="shared" si="182"/>
        <v>0</v>
      </c>
      <c r="H82" s="84">
        <f t="shared" si="182"/>
        <v>0</v>
      </c>
      <c r="I82" s="84">
        <f t="shared" si="182"/>
        <v>0</v>
      </c>
      <c r="J82" s="84">
        <f t="shared" si="182"/>
        <v>0</v>
      </c>
      <c r="K82" s="84">
        <f t="shared" si="182"/>
        <v>0</v>
      </c>
      <c r="L82" s="84">
        <f t="shared" si="182"/>
        <v>0</v>
      </c>
      <c r="M82" s="84">
        <f t="shared" si="182"/>
        <v>0</v>
      </c>
      <c r="N82" s="84">
        <f t="shared" si="182"/>
        <v>0</v>
      </c>
      <c r="O82" s="84">
        <f t="shared" si="182"/>
        <v>0</v>
      </c>
      <c r="P82" s="84">
        <f t="shared" si="182"/>
        <v>0</v>
      </c>
      <c r="Q82" s="84">
        <f t="shared" si="182"/>
        <v>0</v>
      </c>
      <c r="R82" s="84">
        <f t="shared" si="182"/>
        <v>0</v>
      </c>
      <c r="S82" s="84">
        <f t="shared" si="182"/>
        <v>0</v>
      </c>
      <c r="T82" s="84">
        <f t="shared" si="182"/>
        <v>0</v>
      </c>
      <c r="U82" s="589"/>
      <c r="V82" s="84">
        <f t="shared" ref="V82:AJ82" si="183">V35*V$50</f>
        <v>0</v>
      </c>
      <c r="W82" s="84">
        <f t="shared" si="183"/>
        <v>0</v>
      </c>
      <c r="X82" s="84">
        <f t="shared" si="183"/>
        <v>0</v>
      </c>
      <c r="Y82" s="84">
        <f t="shared" si="183"/>
        <v>0</v>
      </c>
      <c r="Z82" s="84">
        <f t="shared" si="183"/>
        <v>0</v>
      </c>
      <c r="AA82" s="84">
        <f t="shared" si="183"/>
        <v>0</v>
      </c>
      <c r="AB82" s="84">
        <f t="shared" si="183"/>
        <v>0</v>
      </c>
      <c r="AC82" s="84">
        <f t="shared" si="183"/>
        <v>0</v>
      </c>
      <c r="AD82" s="84">
        <f t="shared" si="183"/>
        <v>0</v>
      </c>
      <c r="AE82" s="84">
        <f t="shared" si="183"/>
        <v>0</v>
      </c>
      <c r="AF82" s="84">
        <f t="shared" si="183"/>
        <v>0</v>
      </c>
      <c r="AG82" s="84">
        <f t="shared" si="183"/>
        <v>0</v>
      </c>
      <c r="AH82" s="84">
        <f t="shared" si="183"/>
        <v>0</v>
      </c>
      <c r="AI82" s="84">
        <f t="shared" si="183"/>
        <v>0</v>
      </c>
      <c r="AJ82" s="84">
        <f t="shared" si="183"/>
        <v>0</v>
      </c>
      <c r="AK82" s="589"/>
      <c r="AL82" s="84">
        <f t="shared" ref="AL82:AO82" si="184">AL35*AL$50</f>
        <v>0</v>
      </c>
      <c r="AM82" s="84">
        <f t="shared" si="184"/>
        <v>0</v>
      </c>
      <c r="AN82" s="84">
        <f t="shared" si="184"/>
        <v>0</v>
      </c>
      <c r="AO82" s="84">
        <f t="shared" si="184"/>
        <v>0</v>
      </c>
      <c r="AP82" s="593"/>
      <c r="AQ82" s="332">
        <f t="shared" ref="AQ82:BC82" si="185">AQ35*AQ$50</f>
        <v>0</v>
      </c>
      <c r="AR82" s="332">
        <f t="shared" si="185"/>
        <v>0</v>
      </c>
      <c r="AS82" s="332">
        <f t="shared" si="185"/>
        <v>0</v>
      </c>
      <c r="AT82" s="332">
        <f t="shared" si="185"/>
        <v>0</v>
      </c>
      <c r="AU82" s="332">
        <f t="shared" si="185"/>
        <v>0</v>
      </c>
      <c r="AV82" s="332">
        <f t="shared" si="185"/>
        <v>0</v>
      </c>
      <c r="AW82" s="306">
        <f t="shared" si="185"/>
        <v>10692395.604395606</v>
      </c>
      <c r="AX82" s="306">
        <f t="shared" si="185"/>
        <v>0</v>
      </c>
      <c r="AY82" s="306">
        <f t="shared" si="185"/>
        <v>0</v>
      </c>
      <c r="AZ82" s="306">
        <f t="shared" si="185"/>
        <v>0</v>
      </c>
      <c r="BA82" s="306">
        <f t="shared" si="185"/>
        <v>0</v>
      </c>
      <c r="BB82" s="306">
        <f t="shared" si="185"/>
        <v>0</v>
      </c>
      <c r="BC82" s="306">
        <f t="shared" si="185"/>
        <v>0</v>
      </c>
      <c r="BD82" s="589"/>
      <c r="BE82" s="84">
        <f t="shared" ref="BE82:BH82" si="186">BE35*BE$50</f>
        <v>0</v>
      </c>
      <c r="BF82" s="84">
        <f t="shared" si="186"/>
        <v>0</v>
      </c>
      <c r="BG82" s="84">
        <f t="shared" si="186"/>
        <v>0</v>
      </c>
      <c r="BH82" s="84">
        <f t="shared" si="186"/>
        <v>0</v>
      </c>
      <c r="BI82" s="589"/>
      <c r="BJ82" s="84">
        <f t="shared" ref="BJ82:BW82" si="187">BJ35*BJ$50/60</f>
        <v>0</v>
      </c>
      <c r="BK82" s="84">
        <f t="shared" si="187"/>
        <v>0</v>
      </c>
      <c r="BL82" s="84">
        <f t="shared" si="187"/>
        <v>0</v>
      </c>
      <c r="BM82" s="84">
        <f t="shared" si="187"/>
        <v>0</v>
      </c>
      <c r="BN82" s="84">
        <f t="shared" si="187"/>
        <v>0</v>
      </c>
      <c r="BO82" s="84">
        <f t="shared" si="187"/>
        <v>0</v>
      </c>
      <c r="BP82" s="84">
        <f t="shared" si="187"/>
        <v>0</v>
      </c>
      <c r="BQ82" s="84">
        <f t="shared" si="187"/>
        <v>0</v>
      </c>
      <c r="BR82" s="84">
        <f t="shared" si="187"/>
        <v>0</v>
      </c>
      <c r="BS82" s="84">
        <f t="shared" si="187"/>
        <v>0</v>
      </c>
      <c r="BT82" s="84">
        <f t="shared" si="187"/>
        <v>0</v>
      </c>
      <c r="BU82" s="84">
        <f t="shared" si="187"/>
        <v>0</v>
      </c>
      <c r="BV82" s="84">
        <f t="shared" si="187"/>
        <v>0</v>
      </c>
      <c r="BW82" s="84">
        <f t="shared" si="187"/>
        <v>0</v>
      </c>
      <c r="BX82" s="595"/>
      <c r="BY82" s="100">
        <f t="shared" si="17"/>
        <v>10692395.604395606</v>
      </c>
      <c r="CC82" s="108"/>
    </row>
    <row r="83" spans="1:84" x14ac:dyDescent="0.25">
      <c r="A83" s="418">
        <f t="shared" si="67"/>
        <v>31</v>
      </c>
      <c r="B83" s="96" t="str">
        <f t="shared" si="54"/>
        <v>NV33</v>
      </c>
      <c r="C83" s="96" t="str">
        <f t="shared" si="54"/>
        <v>Nguyễn Thành Tài</v>
      </c>
      <c r="D83" s="96" t="str">
        <f t="shared" si="54"/>
        <v>Lái xe nâng</v>
      </c>
      <c r="E83" s="84">
        <f t="shared" ref="E83:T83" si="188">E36*E$50</f>
        <v>0</v>
      </c>
      <c r="F83" s="84">
        <f t="shared" si="188"/>
        <v>0</v>
      </c>
      <c r="G83" s="84">
        <f t="shared" si="188"/>
        <v>0</v>
      </c>
      <c r="H83" s="84">
        <f t="shared" si="188"/>
        <v>0</v>
      </c>
      <c r="I83" s="84">
        <f t="shared" si="188"/>
        <v>0</v>
      </c>
      <c r="J83" s="84">
        <f t="shared" si="188"/>
        <v>0</v>
      </c>
      <c r="K83" s="84">
        <f t="shared" si="188"/>
        <v>0</v>
      </c>
      <c r="L83" s="84">
        <f t="shared" si="188"/>
        <v>0</v>
      </c>
      <c r="M83" s="84">
        <f t="shared" si="188"/>
        <v>0</v>
      </c>
      <c r="N83" s="84">
        <f t="shared" si="188"/>
        <v>0</v>
      </c>
      <c r="O83" s="84">
        <f t="shared" si="188"/>
        <v>0</v>
      </c>
      <c r="P83" s="84">
        <f t="shared" si="188"/>
        <v>0</v>
      </c>
      <c r="Q83" s="84">
        <f t="shared" si="188"/>
        <v>0</v>
      </c>
      <c r="R83" s="84">
        <f t="shared" si="188"/>
        <v>0</v>
      </c>
      <c r="S83" s="84">
        <f t="shared" si="188"/>
        <v>0</v>
      </c>
      <c r="T83" s="84">
        <f t="shared" si="188"/>
        <v>0</v>
      </c>
      <c r="U83" s="589"/>
      <c r="V83" s="84">
        <f t="shared" ref="V83:AJ83" si="189">V36*V$50</f>
        <v>0</v>
      </c>
      <c r="W83" s="84">
        <f t="shared" si="189"/>
        <v>0</v>
      </c>
      <c r="X83" s="84">
        <f t="shared" si="189"/>
        <v>0</v>
      </c>
      <c r="Y83" s="84">
        <f t="shared" si="189"/>
        <v>0</v>
      </c>
      <c r="Z83" s="84">
        <f t="shared" si="189"/>
        <v>0</v>
      </c>
      <c r="AA83" s="84">
        <f t="shared" si="189"/>
        <v>0</v>
      </c>
      <c r="AB83" s="84">
        <f t="shared" si="189"/>
        <v>0</v>
      </c>
      <c r="AC83" s="84">
        <f t="shared" si="189"/>
        <v>0</v>
      </c>
      <c r="AD83" s="84">
        <f t="shared" si="189"/>
        <v>0</v>
      </c>
      <c r="AE83" s="84">
        <f t="shared" si="189"/>
        <v>0</v>
      </c>
      <c r="AF83" s="84">
        <f t="shared" si="189"/>
        <v>0</v>
      </c>
      <c r="AG83" s="84">
        <f t="shared" si="189"/>
        <v>0</v>
      </c>
      <c r="AH83" s="84">
        <f t="shared" si="189"/>
        <v>0</v>
      </c>
      <c r="AI83" s="84">
        <f t="shared" si="189"/>
        <v>0</v>
      </c>
      <c r="AJ83" s="84">
        <f t="shared" si="189"/>
        <v>0</v>
      </c>
      <c r="AK83" s="589"/>
      <c r="AL83" s="84">
        <f t="shared" ref="AL83:AO83" si="190">AL36*AL$50</f>
        <v>0</v>
      </c>
      <c r="AM83" s="84">
        <f t="shared" si="190"/>
        <v>0</v>
      </c>
      <c r="AN83" s="84">
        <f t="shared" si="190"/>
        <v>0</v>
      </c>
      <c r="AO83" s="84">
        <f t="shared" si="190"/>
        <v>0</v>
      </c>
      <c r="AP83" s="593"/>
      <c r="AQ83" s="332">
        <f t="shared" ref="AQ83:BC83" si="191">AQ36*AQ$50</f>
        <v>0</v>
      </c>
      <c r="AR83" s="332">
        <f t="shared" si="191"/>
        <v>0</v>
      </c>
      <c r="AS83" s="332">
        <f t="shared" si="191"/>
        <v>0</v>
      </c>
      <c r="AT83" s="332">
        <f t="shared" si="191"/>
        <v>0</v>
      </c>
      <c r="AU83" s="332">
        <f t="shared" si="191"/>
        <v>3717948.717948718</v>
      </c>
      <c r="AV83" s="332">
        <f t="shared" si="191"/>
        <v>0</v>
      </c>
      <c r="AW83" s="306">
        <f t="shared" si="191"/>
        <v>0</v>
      </c>
      <c r="AX83" s="306">
        <f t="shared" si="191"/>
        <v>0</v>
      </c>
      <c r="AY83" s="306">
        <f t="shared" si="191"/>
        <v>0</v>
      </c>
      <c r="AZ83" s="306">
        <f t="shared" si="191"/>
        <v>0</v>
      </c>
      <c r="BA83" s="306">
        <f t="shared" si="191"/>
        <v>3941025.6410256415</v>
      </c>
      <c r="BB83" s="306">
        <f t="shared" si="191"/>
        <v>0</v>
      </c>
      <c r="BC83" s="306">
        <f t="shared" si="191"/>
        <v>0</v>
      </c>
      <c r="BD83" s="589"/>
      <c r="BE83" s="84">
        <f t="shared" ref="BE83:BH83" si="192">BE36*BE$50</f>
        <v>0</v>
      </c>
      <c r="BF83" s="84">
        <f t="shared" si="192"/>
        <v>0</v>
      </c>
      <c r="BG83" s="84">
        <f t="shared" si="192"/>
        <v>0</v>
      </c>
      <c r="BH83" s="84">
        <f t="shared" si="192"/>
        <v>0</v>
      </c>
      <c r="BI83" s="589"/>
      <c r="BJ83" s="84">
        <f t="shared" ref="BJ83:BW83" si="193">BJ36*BJ$50/60</f>
        <v>0</v>
      </c>
      <c r="BK83" s="84">
        <f t="shared" si="193"/>
        <v>0</v>
      </c>
      <c r="BL83" s="84">
        <f t="shared" si="193"/>
        <v>0</v>
      </c>
      <c r="BM83" s="84">
        <f t="shared" si="193"/>
        <v>0</v>
      </c>
      <c r="BN83" s="84">
        <f t="shared" si="193"/>
        <v>0</v>
      </c>
      <c r="BO83" s="84">
        <f t="shared" si="193"/>
        <v>0</v>
      </c>
      <c r="BP83" s="84">
        <f t="shared" si="193"/>
        <v>0</v>
      </c>
      <c r="BQ83" s="84">
        <f t="shared" si="193"/>
        <v>0</v>
      </c>
      <c r="BR83" s="84">
        <f t="shared" si="193"/>
        <v>0</v>
      </c>
      <c r="BS83" s="84">
        <f t="shared" si="193"/>
        <v>0</v>
      </c>
      <c r="BT83" s="84">
        <f t="shared" si="193"/>
        <v>0</v>
      </c>
      <c r="BU83" s="84">
        <f t="shared" si="193"/>
        <v>0</v>
      </c>
      <c r="BV83" s="84">
        <f t="shared" si="193"/>
        <v>0</v>
      </c>
      <c r="BW83" s="84">
        <f t="shared" si="193"/>
        <v>0</v>
      </c>
      <c r="BX83" s="595"/>
      <c r="BY83" s="100">
        <f t="shared" si="17"/>
        <v>7658974.3589743599</v>
      </c>
    </row>
    <row r="84" spans="1:84" x14ac:dyDescent="0.25">
      <c r="A84" s="418">
        <f t="shared" si="67"/>
        <v>32</v>
      </c>
      <c r="B84" s="96" t="str">
        <f t="shared" si="54"/>
        <v>NV34</v>
      </c>
      <c r="C84" s="96" t="str">
        <f t="shared" si="54"/>
        <v>Nguyễn Văn Mèo</v>
      </c>
      <c r="D84" s="96" t="str">
        <f t="shared" si="54"/>
        <v>Công nhân</v>
      </c>
      <c r="E84" s="84">
        <f t="shared" ref="E84:T84" si="194">E37*E$50</f>
        <v>0</v>
      </c>
      <c r="F84" s="84">
        <f t="shared" si="194"/>
        <v>0</v>
      </c>
      <c r="G84" s="84">
        <f t="shared" si="194"/>
        <v>0</v>
      </c>
      <c r="H84" s="84">
        <f t="shared" si="194"/>
        <v>0</v>
      </c>
      <c r="I84" s="84">
        <f t="shared" si="194"/>
        <v>0</v>
      </c>
      <c r="J84" s="84">
        <f t="shared" si="194"/>
        <v>0</v>
      </c>
      <c r="K84" s="84">
        <f t="shared" si="194"/>
        <v>0</v>
      </c>
      <c r="L84" s="84">
        <f t="shared" si="194"/>
        <v>0</v>
      </c>
      <c r="M84" s="84">
        <f t="shared" si="194"/>
        <v>0</v>
      </c>
      <c r="N84" s="84">
        <f t="shared" si="194"/>
        <v>0</v>
      </c>
      <c r="O84" s="84">
        <f t="shared" si="194"/>
        <v>0</v>
      </c>
      <c r="P84" s="84">
        <f t="shared" si="194"/>
        <v>0</v>
      </c>
      <c r="Q84" s="84">
        <f t="shared" si="194"/>
        <v>0</v>
      </c>
      <c r="R84" s="84">
        <f t="shared" si="194"/>
        <v>0</v>
      </c>
      <c r="S84" s="84">
        <f t="shared" si="194"/>
        <v>0</v>
      </c>
      <c r="T84" s="84">
        <f t="shared" si="194"/>
        <v>0</v>
      </c>
      <c r="U84" s="589"/>
      <c r="V84" s="84">
        <f t="shared" ref="V84:AJ84" si="195">V37*V$50</f>
        <v>0</v>
      </c>
      <c r="W84" s="84">
        <f t="shared" si="195"/>
        <v>0</v>
      </c>
      <c r="X84" s="84">
        <f t="shared" si="195"/>
        <v>0</v>
      </c>
      <c r="Y84" s="84">
        <f t="shared" si="195"/>
        <v>0</v>
      </c>
      <c r="Z84" s="84">
        <f t="shared" si="195"/>
        <v>0</v>
      </c>
      <c r="AA84" s="84">
        <f t="shared" si="195"/>
        <v>0</v>
      </c>
      <c r="AB84" s="84">
        <f t="shared" si="195"/>
        <v>0</v>
      </c>
      <c r="AC84" s="84">
        <f t="shared" si="195"/>
        <v>0</v>
      </c>
      <c r="AD84" s="84">
        <f t="shared" si="195"/>
        <v>0</v>
      </c>
      <c r="AE84" s="84">
        <f t="shared" si="195"/>
        <v>0</v>
      </c>
      <c r="AF84" s="84">
        <f t="shared" si="195"/>
        <v>0</v>
      </c>
      <c r="AG84" s="84">
        <f t="shared" si="195"/>
        <v>0</v>
      </c>
      <c r="AH84" s="84">
        <f t="shared" si="195"/>
        <v>0</v>
      </c>
      <c r="AI84" s="84">
        <f t="shared" si="195"/>
        <v>0</v>
      </c>
      <c r="AJ84" s="84">
        <f t="shared" si="195"/>
        <v>0</v>
      </c>
      <c r="AK84" s="589"/>
      <c r="AL84" s="84">
        <f t="shared" ref="AL84:AO84" si="196">AL37*AL$50</f>
        <v>0</v>
      </c>
      <c r="AM84" s="84">
        <f t="shared" si="196"/>
        <v>0</v>
      </c>
      <c r="AN84" s="84">
        <f t="shared" si="196"/>
        <v>0</v>
      </c>
      <c r="AO84" s="84">
        <f t="shared" si="196"/>
        <v>0</v>
      </c>
      <c r="AP84" s="593"/>
      <c r="AQ84" s="332">
        <f t="shared" ref="AQ84:BC84" si="197">AQ37*AQ$50</f>
        <v>0</v>
      </c>
      <c r="AR84" s="332">
        <f t="shared" si="197"/>
        <v>0</v>
      </c>
      <c r="AS84" s="332">
        <f t="shared" si="197"/>
        <v>0</v>
      </c>
      <c r="AT84" s="332">
        <f t="shared" si="197"/>
        <v>5655416.0125588691</v>
      </c>
      <c r="AU84" s="332">
        <f t="shared" si="197"/>
        <v>0</v>
      </c>
      <c r="AV84" s="332">
        <f t="shared" si="197"/>
        <v>0</v>
      </c>
      <c r="AW84" s="306">
        <f t="shared" si="197"/>
        <v>0</v>
      </c>
      <c r="AX84" s="306">
        <f t="shared" si="197"/>
        <v>0</v>
      </c>
      <c r="AY84" s="306">
        <f t="shared" si="197"/>
        <v>0</v>
      </c>
      <c r="AZ84" s="306">
        <f t="shared" si="197"/>
        <v>0</v>
      </c>
      <c r="BA84" s="306">
        <f t="shared" si="197"/>
        <v>0</v>
      </c>
      <c r="BB84" s="306">
        <f t="shared" si="197"/>
        <v>0</v>
      </c>
      <c r="BC84" s="306">
        <f t="shared" si="197"/>
        <v>0</v>
      </c>
      <c r="BD84" s="589"/>
      <c r="BE84" s="84">
        <f t="shared" ref="BE84:BH84" si="198">BE37*BE$50</f>
        <v>0</v>
      </c>
      <c r="BF84" s="84">
        <f t="shared" si="198"/>
        <v>0</v>
      </c>
      <c r="BG84" s="84">
        <f t="shared" si="198"/>
        <v>0</v>
      </c>
      <c r="BH84" s="84">
        <f t="shared" si="198"/>
        <v>0</v>
      </c>
      <c r="BI84" s="589"/>
      <c r="BJ84" s="84">
        <f t="shared" ref="BJ84:BW84" si="199">BJ37*BJ$50/60</f>
        <v>0</v>
      </c>
      <c r="BK84" s="84">
        <f t="shared" si="199"/>
        <v>0</v>
      </c>
      <c r="BL84" s="84">
        <f t="shared" si="199"/>
        <v>0</v>
      </c>
      <c r="BM84" s="84">
        <f t="shared" si="199"/>
        <v>3542668.269230769</v>
      </c>
      <c r="BN84" s="84">
        <f t="shared" si="199"/>
        <v>0</v>
      </c>
      <c r="BO84" s="84">
        <f t="shared" si="199"/>
        <v>0</v>
      </c>
      <c r="BP84" s="84">
        <f t="shared" si="199"/>
        <v>0</v>
      </c>
      <c r="BQ84" s="84">
        <f t="shared" si="199"/>
        <v>0</v>
      </c>
      <c r="BR84" s="84">
        <f t="shared" si="199"/>
        <v>0</v>
      </c>
      <c r="BS84" s="84">
        <f t="shared" si="199"/>
        <v>0</v>
      </c>
      <c r="BT84" s="84">
        <f t="shared" si="199"/>
        <v>0</v>
      </c>
      <c r="BU84" s="84">
        <f t="shared" si="199"/>
        <v>0</v>
      </c>
      <c r="BV84" s="84">
        <f t="shared" si="199"/>
        <v>0</v>
      </c>
      <c r="BW84" s="84">
        <f t="shared" si="199"/>
        <v>0</v>
      </c>
      <c r="BX84" s="595"/>
      <c r="BY84" s="100">
        <f t="shared" si="17"/>
        <v>9198084.2817896381</v>
      </c>
    </row>
    <row r="85" spans="1:84" x14ac:dyDescent="0.25">
      <c r="A85" s="418">
        <f t="shared" si="67"/>
        <v>33</v>
      </c>
      <c r="B85" s="96" t="str">
        <f t="shared" si="54"/>
        <v>NV35</v>
      </c>
      <c r="C85" s="96" t="str">
        <f t="shared" si="54"/>
        <v>Nguyễn Văn Phụng</v>
      </c>
      <c r="D85" s="96" t="str">
        <f t="shared" si="54"/>
        <v xml:space="preserve">Công nhân </v>
      </c>
      <c r="E85" s="84">
        <f t="shared" ref="E85:T85" si="200">E38*E$50</f>
        <v>0</v>
      </c>
      <c r="F85" s="84">
        <f t="shared" si="200"/>
        <v>0</v>
      </c>
      <c r="G85" s="84">
        <f t="shared" si="200"/>
        <v>0</v>
      </c>
      <c r="H85" s="84">
        <f t="shared" si="200"/>
        <v>0</v>
      </c>
      <c r="I85" s="84">
        <f t="shared" si="200"/>
        <v>0</v>
      </c>
      <c r="J85" s="84">
        <f t="shared" si="200"/>
        <v>0</v>
      </c>
      <c r="K85" s="84">
        <f t="shared" si="200"/>
        <v>0</v>
      </c>
      <c r="L85" s="84">
        <f t="shared" si="200"/>
        <v>0</v>
      </c>
      <c r="M85" s="84">
        <f t="shared" si="200"/>
        <v>0</v>
      </c>
      <c r="N85" s="84">
        <f t="shared" si="200"/>
        <v>0</v>
      </c>
      <c r="O85" s="84">
        <f t="shared" si="200"/>
        <v>0</v>
      </c>
      <c r="P85" s="84">
        <f t="shared" si="200"/>
        <v>0</v>
      </c>
      <c r="Q85" s="84">
        <f t="shared" si="200"/>
        <v>0</v>
      </c>
      <c r="R85" s="84">
        <f t="shared" si="200"/>
        <v>0</v>
      </c>
      <c r="S85" s="84">
        <f t="shared" si="200"/>
        <v>0</v>
      </c>
      <c r="T85" s="84">
        <f t="shared" si="200"/>
        <v>0</v>
      </c>
      <c r="U85" s="589"/>
      <c r="V85" s="84">
        <f t="shared" ref="V85:AJ85" si="201">V38*V$50</f>
        <v>0</v>
      </c>
      <c r="W85" s="84">
        <f t="shared" si="201"/>
        <v>0</v>
      </c>
      <c r="X85" s="84">
        <f t="shared" si="201"/>
        <v>0</v>
      </c>
      <c r="Y85" s="84">
        <f t="shared" si="201"/>
        <v>0</v>
      </c>
      <c r="Z85" s="84">
        <f t="shared" si="201"/>
        <v>0</v>
      </c>
      <c r="AA85" s="84">
        <f t="shared" si="201"/>
        <v>0</v>
      </c>
      <c r="AB85" s="84">
        <f t="shared" si="201"/>
        <v>0</v>
      </c>
      <c r="AC85" s="84">
        <f t="shared" si="201"/>
        <v>0</v>
      </c>
      <c r="AD85" s="84">
        <f t="shared" si="201"/>
        <v>0</v>
      </c>
      <c r="AE85" s="84">
        <f t="shared" si="201"/>
        <v>0</v>
      </c>
      <c r="AF85" s="84">
        <f t="shared" si="201"/>
        <v>0</v>
      </c>
      <c r="AG85" s="84">
        <f t="shared" si="201"/>
        <v>0</v>
      </c>
      <c r="AH85" s="84">
        <f t="shared" si="201"/>
        <v>0</v>
      </c>
      <c r="AI85" s="84">
        <f t="shared" si="201"/>
        <v>0</v>
      </c>
      <c r="AJ85" s="84">
        <f t="shared" si="201"/>
        <v>0</v>
      </c>
      <c r="AK85" s="589"/>
      <c r="AL85" s="84">
        <f t="shared" ref="AL85:AO85" si="202">AL38*AL$50</f>
        <v>0</v>
      </c>
      <c r="AM85" s="84">
        <f t="shared" si="202"/>
        <v>0</v>
      </c>
      <c r="AN85" s="84">
        <f t="shared" si="202"/>
        <v>0</v>
      </c>
      <c r="AO85" s="84">
        <f t="shared" si="202"/>
        <v>0</v>
      </c>
      <c r="AP85" s="593"/>
      <c r="AQ85" s="332">
        <f t="shared" ref="AQ85:BC85" si="203">AQ38*AQ$50</f>
        <v>0</v>
      </c>
      <c r="AR85" s="332">
        <f t="shared" si="203"/>
        <v>0</v>
      </c>
      <c r="AS85" s="332">
        <f t="shared" si="203"/>
        <v>0</v>
      </c>
      <c r="AT85" s="332">
        <f t="shared" si="203"/>
        <v>0</v>
      </c>
      <c r="AU85" s="332">
        <f t="shared" si="203"/>
        <v>0</v>
      </c>
      <c r="AV85" s="332">
        <f t="shared" si="203"/>
        <v>0</v>
      </c>
      <c r="AW85" s="306">
        <f t="shared" si="203"/>
        <v>0</v>
      </c>
      <c r="AX85" s="306">
        <f t="shared" si="203"/>
        <v>0</v>
      </c>
      <c r="AY85" s="306">
        <f t="shared" si="203"/>
        <v>0</v>
      </c>
      <c r="AZ85" s="306">
        <f t="shared" si="203"/>
        <v>0</v>
      </c>
      <c r="BA85" s="306">
        <f t="shared" si="203"/>
        <v>0</v>
      </c>
      <c r="BB85" s="306">
        <f t="shared" si="203"/>
        <v>0</v>
      </c>
      <c r="BC85" s="306">
        <f t="shared" si="203"/>
        <v>0</v>
      </c>
      <c r="BD85" s="589"/>
      <c r="BE85" s="84">
        <f t="shared" ref="BE85:BH85" si="204">BE38*BE$50</f>
        <v>0</v>
      </c>
      <c r="BF85" s="84">
        <f t="shared" si="204"/>
        <v>0</v>
      </c>
      <c r="BG85" s="84">
        <f t="shared" si="204"/>
        <v>0</v>
      </c>
      <c r="BH85" s="84">
        <f t="shared" si="204"/>
        <v>0</v>
      </c>
      <c r="BI85" s="589"/>
      <c r="BJ85" s="84">
        <f t="shared" ref="BJ85:BW85" si="205">BJ38*BJ$50/60</f>
        <v>0</v>
      </c>
      <c r="BK85" s="84">
        <f t="shared" si="205"/>
        <v>0</v>
      </c>
      <c r="BL85" s="84">
        <f t="shared" si="205"/>
        <v>0</v>
      </c>
      <c r="BM85" s="84">
        <f t="shared" si="205"/>
        <v>8340144.2307692301</v>
      </c>
      <c r="BN85" s="84">
        <f t="shared" si="205"/>
        <v>0</v>
      </c>
      <c r="BO85" s="84">
        <f t="shared" si="205"/>
        <v>0</v>
      </c>
      <c r="BP85" s="84">
        <f t="shared" si="205"/>
        <v>0</v>
      </c>
      <c r="BQ85" s="84">
        <f t="shared" si="205"/>
        <v>0</v>
      </c>
      <c r="BR85" s="84">
        <f t="shared" si="205"/>
        <v>0</v>
      </c>
      <c r="BS85" s="84">
        <f t="shared" si="205"/>
        <v>0</v>
      </c>
      <c r="BT85" s="84">
        <f t="shared" si="205"/>
        <v>0</v>
      </c>
      <c r="BU85" s="84">
        <f t="shared" si="205"/>
        <v>0</v>
      </c>
      <c r="BV85" s="84">
        <f t="shared" si="205"/>
        <v>0</v>
      </c>
      <c r="BW85" s="84">
        <f t="shared" si="205"/>
        <v>0</v>
      </c>
      <c r="BX85" s="595"/>
      <c r="BY85" s="100">
        <f t="shared" si="17"/>
        <v>8340144.2307692301</v>
      </c>
    </row>
    <row r="86" spans="1:84" x14ac:dyDescent="0.25">
      <c r="A86" s="418">
        <f t="shared" si="67"/>
        <v>34</v>
      </c>
      <c r="B86" s="96" t="str">
        <f t="shared" si="54"/>
        <v>NV37</v>
      </c>
      <c r="C86" s="96" t="str">
        <f t="shared" si="54"/>
        <v>Nguyễn Tấn Kiệt</v>
      </c>
      <c r="D86" s="96" t="str">
        <f t="shared" si="54"/>
        <v xml:space="preserve">Công nhân </v>
      </c>
      <c r="E86" s="84">
        <f t="shared" ref="E86:T86" si="206">E39*E$50</f>
        <v>0</v>
      </c>
      <c r="F86" s="84">
        <f t="shared" si="206"/>
        <v>0</v>
      </c>
      <c r="G86" s="84">
        <f t="shared" si="206"/>
        <v>0</v>
      </c>
      <c r="H86" s="84">
        <f t="shared" si="206"/>
        <v>0</v>
      </c>
      <c r="I86" s="84">
        <f t="shared" si="206"/>
        <v>0</v>
      </c>
      <c r="J86" s="84">
        <f t="shared" si="206"/>
        <v>0</v>
      </c>
      <c r="K86" s="84">
        <f t="shared" si="206"/>
        <v>0</v>
      </c>
      <c r="L86" s="84">
        <f t="shared" si="206"/>
        <v>0</v>
      </c>
      <c r="M86" s="84">
        <f t="shared" si="206"/>
        <v>0</v>
      </c>
      <c r="N86" s="84">
        <f t="shared" si="206"/>
        <v>0</v>
      </c>
      <c r="O86" s="84">
        <f t="shared" si="206"/>
        <v>0</v>
      </c>
      <c r="P86" s="84">
        <f t="shared" si="206"/>
        <v>0</v>
      </c>
      <c r="Q86" s="84">
        <f t="shared" si="206"/>
        <v>0</v>
      </c>
      <c r="R86" s="84">
        <f t="shared" si="206"/>
        <v>0</v>
      </c>
      <c r="S86" s="84">
        <f t="shared" si="206"/>
        <v>0</v>
      </c>
      <c r="T86" s="84">
        <f t="shared" si="206"/>
        <v>0</v>
      </c>
      <c r="U86" s="589"/>
      <c r="V86" s="84">
        <f t="shared" ref="V86:AJ86" si="207">V39*V$50</f>
        <v>0</v>
      </c>
      <c r="W86" s="84">
        <f t="shared" si="207"/>
        <v>0</v>
      </c>
      <c r="X86" s="84">
        <f t="shared" si="207"/>
        <v>0</v>
      </c>
      <c r="Y86" s="84">
        <f t="shared" si="207"/>
        <v>0</v>
      </c>
      <c r="Z86" s="84">
        <f t="shared" si="207"/>
        <v>0</v>
      </c>
      <c r="AA86" s="84">
        <f t="shared" si="207"/>
        <v>0</v>
      </c>
      <c r="AB86" s="84">
        <f t="shared" si="207"/>
        <v>0</v>
      </c>
      <c r="AC86" s="84">
        <f t="shared" si="207"/>
        <v>0</v>
      </c>
      <c r="AD86" s="84">
        <f t="shared" si="207"/>
        <v>0</v>
      </c>
      <c r="AE86" s="84">
        <f t="shared" si="207"/>
        <v>0</v>
      </c>
      <c r="AF86" s="84">
        <f t="shared" si="207"/>
        <v>0</v>
      </c>
      <c r="AG86" s="84">
        <f t="shared" si="207"/>
        <v>0</v>
      </c>
      <c r="AH86" s="84">
        <f t="shared" si="207"/>
        <v>0</v>
      </c>
      <c r="AI86" s="84">
        <f t="shared" si="207"/>
        <v>0</v>
      </c>
      <c r="AJ86" s="84">
        <f t="shared" si="207"/>
        <v>0</v>
      </c>
      <c r="AK86" s="589"/>
      <c r="AL86" s="84">
        <f t="shared" ref="AL86:AO86" si="208">AL39*AL$50</f>
        <v>0</v>
      </c>
      <c r="AM86" s="84">
        <f t="shared" si="208"/>
        <v>0</v>
      </c>
      <c r="AN86" s="84">
        <f t="shared" si="208"/>
        <v>0</v>
      </c>
      <c r="AO86" s="84">
        <f t="shared" si="208"/>
        <v>0</v>
      </c>
      <c r="AP86" s="593"/>
      <c r="AQ86" s="332">
        <f t="shared" ref="AQ86:BC86" si="209">AQ39*AQ$50</f>
        <v>0</v>
      </c>
      <c r="AR86" s="332">
        <f t="shared" si="209"/>
        <v>0</v>
      </c>
      <c r="AS86" s="332">
        <f t="shared" si="209"/>
        <v>0</v>
      </c>
      <c r="AT86" s="332">
        <f t="shared" si="209"/>
        <v>0</v>
      </c>
      <c r="AU86" s="332">
        <f t="shared" si="209"/>
        <v>0</v>
      </c>
      <c r="AV86" s="332">
        <f t="shared" si="209"/>
        <v>0</v>
      </c>
      <c r="AW86" s="306">
        <f t="shared" si="209"/>
        <v>0</v>
      </c>
      <c r="AX86" s="306">
        <f t="shared" si="209"/>
        <v>0</v>
      </c>
      <c r="AY86" s="306">
        <f t="shared" si="209"/>
        <v>0</v>
      </c>
      <c r="AZ86" s="306">
        <f t="shared" si="209"/>
        <v>0</v>
      </c>
      <c r="BA86" s="306">
        <f t="shared" si="209"/>
        <v>0</v>
      </c>
      <c r="BB86" s="306">
        <f t="shared" si="209"/>
        <v>0</v>
      </c>
      <c r="BC86" s="306">
        <f t="shared" si="209"/>
        <v>0</v>
      </c>
      <c r="BD86" s="589"/>
      <c r="BE86" s="84">
        <f t="shared" ref="BE86:BH86" si="210">BE39*BE$50</f>
        <v>0</v>
      </c>
      <c r="BF86" s="84">
        <f t="shared" si="210"/>
        <v>0</v>
      </c>
      <c r="BG86" s="84">
        <f t="shared" si="210"/>
        <v>0</v>
      </c>
      <c r="BH86" s="84">
        <f t="shared" si="210"/>
        <v>0</v>
      </c>
      <c r="BI86" s="589"/>
      <c r="BJ86" s="84">
        <f t="shared" ref="BJ86:BW86" si="211">BJ39*BJ$50/60</f>
        <v>0</v>
      </c>
      <c r="BK86" s="84">
        <f t="shared" si="211"/>
        <v>0</v>
      </c>
      <c r="BL86" s="84">
        <f t="shared" si="211"/>
        <v>0</v>
      </c>
      <c r="BM86" s="84">
        <f t="shared" si="211"/>
        <v>4846153.8461538451</v>
      </c>
      <c r="BN86" s="84">
        <f t="shared" si="211"/>
        <v>0</v>
      </c>
      <c r="BO86" s="84">
        <f t="shared" si="211"/>
        <v>0</v>
      </c>
      <c r="BP86" s="84">
        <f t="shared" si="211"/>
        <v>0</v>
      </c>
      <c r="BQ86" s="84">
        <f t="shared" si="211"/>
        <v>0</v>
      </c>
      <c r="BR86" s="84">
        <f t="shared" si="211"/>
        <v>0</v>
      </c>
      <c r="BS86" s="84">
        <f t="shared" si="211"/>
        <v>0</v>
      </c>
      <c r="BT86" s="84">
        <f t="shared" si="211"/>
        <v>0</v>
      </c>
      <c r="BU86" s="84">
        <f t="shared" si="211"/>
        <v>0</v>
      </c>
      <c r="BV86" s="84">
        <f t="shared" si="211"/>
        <v>0</v>
      </c>
      <c r="BW86" s="84">
        <f t="shared" si="211"/>
        <v>0</v>
      </c>
      <c r="BX86" s="595"/>
      <c r="BY86" s="100">
        <f t="shared" si="17"/>
        <v>4846153.8461538451</v>
      </c>
    </row>
    <row r="87" spans="1:84" x14ac:dyDescent="0.25">
      <c r="A87" s="418">
        <f t="shared" si="67"/>
        <v>35</v>
      </c>
      <c r="B87" s="96" t="str">
        <f t="shared" si="54"/>
        <v>NV39</v>
      </c>
      <c r="C87" s="96" t="str">
        <f t="shared" si="54"/>
        <v>Lê Ngọc Đức</v>
      </c>
      <c r="D87" s="96" t="str">
        <f t="shared" si="54"/>
        <v xml:space="preserve">Công nhân </v>
      </c>
      <c r="E87" s="84">
        <f t="shared" ref="E87:T87" si="212">E40*E$50</f>
        <v>0</v>
      </c>
      <c r="F87" s="84">
        <f t="shared" si="212"/>
        <v>0</v>
      </c>
      <c r="G87" s="84">
        <f t="shared" si="212"/>
        <v>0</v>
      </c>
      <c r="H87" s="84">
        <f t="shared" si="212"/>
        <v>0</v>
      </c>
      <c r="I87" s="84">
        <f t="shared" si="212"/>
        <v>0</v>
      </c>
      <c r="J87" s="84">
        <f t="shared" si="212"/>
        <v>0</v>
      </c>
      <c r="K87" s="84">
        <f t="shared" si="212"/>
        <v>0</v>
      </c>
      <c r="L87" s="84">
        <f t="shared" si="212"/>
        <v>0</v>
      </c>
      <c r="M87" s="84">
        <f t="shared" si="212"/>
        <v>0</v>
      </c>
      <c r="N87" s="84">
        <f t="shared" si="212"/>
        <v>0</v>
      </c>
      <c r="O87" s="84">
        <f t="shared" si="212"/>
        <v>0</v>
      </c>
      <c r="P87" s="84">
        <f t="shared" si="212"/>
        <v>0</v>
      </c>
      <c r="Q87" s="84">
        <f t="shared" si="212"/>
        <v>0</v>
      </c>
      <c r="R87" s="84">
        <f t="shared" si="212"/>
        <v>0</v>
      </c>
      <c r="S87" s="84">
        <f t="shared" si="212"/>
        <v>0</v>
      </c>
      <c r="T87" s="84">
        <f t="shared" si="212"/>
        <v>0</v>
      </c>
      <c r="U87" s="589"/>
      <c r="V87" s="84">
        <f t="shared" ref="V87:AJ87" si="213">V40*V$50</f>
        <v>0</v>
      </c>
      <c r="W87" s="84">
        <f t="shared" si="213"/>
        <v>0</v>
      </c>
      <c r="X87" s="84">
        <f t="shared" si="213"/>
        <v>0</v>
      </c>
      <c r="Y87" s="84">
        <f t="shared" si="213"/>
        <v>0</v>
      </c>
      <c r="Z87" s="84">
        <f t="shared" si="213"/>
        <v>0</v>
      </c>
      <c r="AA87" s="84">
        <f t="shared" si="213"/>
        <v>0</v>
      </c>
      <c r="AB87" s="84">
        <f t="shared" si="213"/>
        <v>0</v>
      </c>
      <c r="AC87" s="84">
        <f t="shared" si="213"/>
        <v>0</v>
      </c>
      <c r="AD87" s="84">
        <f t="shared" si="213"/>
        <v>0</v>
      </c>
      <c r="AE87" s="84">
        <f t="shared" si="213"/>
        <v>0</v>
      </c>
      <c r="AF87" s="84">
        <f t="shared" si="213"/>
        <v>0</v>
      </c>
      <c r="AG87" s="84">
        <f t="shared" si="213"/>
        <v>0</v>
      </c>
      <c r="AH87" s="84">
        <f t="shared" si="213"/>
        <v>0</v>
      </c>
      <c r="AI87" s="84">
        <f t="shared" si="213"/>
        <v>0</v>
      </c>
      <c r="AJ87" s="84">
        <f t="shared" si="213"/>
        <v>0</v>
      </c>
      <c r="AK87" s="589"/>
      <c r="AL87" s="84">
        <f t="shared" ref="AL87:AO87" si="214">AL40*AL$50</f>
        <v>0</v>
      </c>
      <c r="AM87" s="84">
        <f t="shared" si="214"/>
        <v>0</v>
      </c>
      <c r="AN87" s="84">
        <f t="shared" si="214"/>
        <v>0</v>
      </c>
      <c r="AO87" s="84">
        <f t="shared" si="214"/>
        <v>0</v>
      </c>
      <c r="AP87" s="593"/>
      <c r="AQ87" s="332">
        <f t="shared" ref="AQ87:BC87" si="215">AQ40*AQ$50</f>
        <v>0</v>
      </c>
      <c r="AR87" s="332">
        <f t="shared" si="215"/>
        <v>0</v>
      </c>
      <c r="AS87" s="332">
        <f t="shared" si="215"/>
        <v>0</v>
      </c>
      <c r="AT87" s="332">
        <f t="shared" si="215"/>
        <v>0</v>
      </c>
      <c r="AU87" s="332">
        <f t="shared" si="215"/>
        <v>0</v>
      </c>
      <c r="AV87" s="332">
        <f t="shared" si="215"/>
        <v>0</v>
      </c>
      <c r="AW87" s="306">
        <f t="shared" si="215"/>
        <v>0</v>
      </c>
      <c r="AX87" s="306">
        <f t="shared" si="215"/>
        <v>0</v>
      </c>
      <c r="AY87" s="306">
        <f t="shared" si="215"/>
        <v>0</v>
      </c>
      <c r="AZ87" s="306">
        <f t="shared" si="215"/>
        <v>0</v>
      </c>
      <c r="BA87" s="306">
        <f t="shared" si="215"/>
        <v>0</v>
      </c>
      <c r="BB87" s="306">
        <f t="shared" si="215"/>
        <v>0</v>
      </c>
      <c r="BC87" s="306">
        <f t="shared" si="215"/>
        <v>0</v>
      </c>
      <c r="BD87" s="589"/>
      <c r="BE87" s="84">
        <f t="shared" ref="BE87:BH87" si="216">BE40*BE$50</f>
        <v>0</v>
      </c>
      <c r="BF87" s="84">
        <f t="shared" si="216"/>
        <v>0</v>
      </c>
      <c r="BG87" s="84">
        <f t="shared" si="216"/>
        <v>0</v>
      </c>
      <c r="BH87" s="84">
        <f t="shared" si="216"/>
        <v>0</v>
      </c>
      <c r="BI87" s="589"/>
      <c r="BJ87" s="84">
        <f t="shared" ref="BJ87:BW87" si="217">BJ40*BJ$50/60</f>
        <v>0</v>
      </c>
      <c r="BK87" s="84">
        <f t="shared" si="217"/>
        <v>0</v>
      </c>
      <c r="BL87" s="84">
        <f t="shared" si="217"/>
        <v>0</v>
      </c>
      <c r="BM87" s="84">
        <f t="shared" si="217"/>
        <v>4846153.8461538451</v>
      </c>
      <c r="BN87" s="84">
        <f t="shared" si="217"/>
        <v>0</v>
      </c>
      <c r="BO87" s="84">
        <f t="shared" si="217"/>
        <v>0</v>
      </c>
      <c r="BP87" s="84">
        <f t="shared" si="217"/>
        <v>0</v>
      </c>
      <c r="BQ87" s="84">
        <f t="shared" si="217"/>
        <v>0</v>
      </c>
      <c r="BR87" s="84">
        <f t="shared" si="217"/>
        <v>0</v>
      </c>
      <c r="BS87" s="84">
        <f t="shared" si="217"/>
        <v>0</v>
      </c>
      <c r="BT87" s="84">
        <f t="shared" si="217"/>
        <v>0</v>
      </c>
      <c r="BU87" s="84">
        <f t="shared" si="217"/>
        <v>0</v>
      </c>
      <c r="BV87" s="84">
        <f t="shared" si="217"/>
        <v>0</v>
      </c>
      <c r="BW87" s="84">
        <f t="shared" si="217"/>
        <v>0</v>
      </c>
      <c r="BX87" s="595"/>
      <c r="BY87" s="100">
        <f t="shared" si="17"/>
        <v>4846153.8461538451</v>
      </c>
    </row>
    <row r="88" spans="1:84" x14ac:dyDescent="0.25">
      <c r="A88" s="418">
        <f t="shared" si="67"/>
        <v>36</v>
      </c>
      <c r="B88" s="96" t="str">
        <f t="shared" si="54"/>
        <v>NV41</v>
      </c>
      <c r="C88" s="96" t="str">
        <f t="shared" si="54"/>
        <v>Bùi Văn Ây</v>
      </c>
      <c r="D88" s="96" t="str">
        <f t="shared" si="54"/>
        <v xml:space="preserve">Công nhân </v>
      </c>
      <c r="E88" s="84">
        <f t="shared" ref="E88:T88" si="218">E41*E$50</f>
        <v>0</v>
      </c>
      <c r="F88" s="84">
        <f t="shared" si="218"/>
        <v>0</v>
      </c>
      <c r="G88" s="84">
        <f t="shared" si="218"/>
        <v>0</v>
      </c>
      <c r="H88" s="84">
        <f t="shared" si="218"/>
        <v>0</v>
      </c>
      <c r="I88" s="84">
        <f t="shared" si="218"/>
        <v>0</v>
      </c>
      <c r="J88" s="84">
        <f t="shared" si="218"/>
        <v>0</v>
      </c>
      <c r="K88" s="84">
        <f t="shared" si="218"/>
        <v>0</v>
      </c>
      <c r="L88" s="84">
        <f t="shared" si="218"/>
        <v>0</v>
      </c>
      <c r="M88" s="84">
        <f t="shared" si="218"/>
        <v>0</v>
      </c>
      <c r="N88" s="84">
        <f t="shared" si="218"/>
        <v>0</v>
      </c>
      <c r="O88" s="84">
        <f t="shared" si="218"/>
        <v>0</v>
      </c>
      <c r="P88" s="84">
        <f t="shared" si="218"/>
        <v>0</v>
      </c>
      <c r="Q88" s="84">
        <f t="shared" si="218"/>
        <v>0</v>
      </c>
      <c r="R88" s="84">
        <f t="shared" si="218"/>
        <v>0</v>
      </c>
      <c r="S88" s="84">
        <f t="shared" si="218"/>
        <v>0</v>
      </c>
      <c r="T88" s="84">
        <f t="shared" si="218"/>
        <v>0</v>
      </c>
      <c r="U88" s="589"/>
      <c r="V88" s="84">
        <f t="shared" ref="V88:AJ88" si="219">V41*V$50</f>
        <v>0</v>
      </c>
      <c r="W88" s="84">
        <f t="shared" si="219"/>
        <v>0</v>
      </c>
      <c r="X88" s="84">
        <f t="shared" si="219"/>
        <v>0</v>
      </c>
      <c r="Y88" s="84">
        <f t="shared" si="219"/>
        <v>0</v>
      </c>
      <c r="Z88" s="84">
        <f t="shared" si="219"/>
        <v>0</v>
      </c>
      <c r="AA88" s="84">
        <f t="shared" si="219"/>
        <v>0</v>
      </c>
      <c r="AB88" s="84">
        <f t="shared" si="219"/>
        <v>0</v>
      </c>
      <c r="AC88" s="84">
        <f t="shared" si="219"/>
        <v>0</v>
      </c>
      <c r="AD88" s="84">
        <f t="shared" si="219"/>
        <v>0</v>
      </c>
      <c r="AE88" s="84">
        <f t="shared" si="219"/>
        <v>0</v>
      </c>
      <c r="AF88" s="84">
        <f t="shared" si="219"/>
        <v>0</v>
      </c>
      <c r="AG88" s="84">
        <f t="shared" si="219"/>
        <v>0</v>
      </c>
      <c r="AH88" s="84">
        <f t="shared" si="219"/>
        <v>0</v>
      </c>
      <c r="AI88" s="84">
        <f t="shared" si="219"/>
        <v>0</v>
      </c>
      <c r="AJ88" s="84">
        <f t="shared" si="219"/>
        <v>0</v>
      </c>
      <c r="AK88" s="589"/>
      <c r="AL88" s="84">
        <f t="shared" ref="AL88:AO88" si="220">AL41*AL$50</f>
        <v>0</v>
      </c>
      <c r="AM88" s="84">
        <f t="shared" si="220"/>
        <v>0</v>
      </c>
      <c r="AN88" s="84">
        <f t="shared" si="220"/>
        <v>0</v>
      </c>
      <c r="AO88" s="84">
        <f t="shared" si="220"/>
        <v>0</v>
      </c>
      <c r="AP88" s="593"/>
      <c r="AQ88" s="332">
        <f t="shared" ref="AQ88:BC88" si="221">AQ41*AQ$50</f>
        <v>0</v>
      </c>
      <c r="AR88" s="332">
        <f t="shared" si="221"/>
        <v>0</v>
      </c>
      <c r="AS88" s="332">
        <f t="shared" si="221"/>
        <v>0</v>
      </c>
      <c r="AT88" s="332">
        <f t="shared" si="221"/>
        <v>0</v>
      </c>
      <c r="AU88" s="332">
        <f t="shared" si="221"/>
        <v>0</v>
      </c>
      <c r="AV88" s="332">
        <f t="shared" si="221"/>
        <v>0</v>
      </c>
      <c r="AW88" s="306">
        <f t="shared" si="221"/>
        <v>0</v>
      </c>
      <c r="AX88" s="306">
        <f t="shared" si="221"/>
        <v>0</v>
      </c>
      <c r="AY88" s="306">
        <f t="shared" si="221"/>
        <v>0</v>
      </c>
      <c r="AZ88" s="306">
        <f t="shared" si="221"/>
        <v>0</v>
      </c>
      <c r="BA88" s="306">
        <f t="shared" si="221"/>
        <v>0</v>
      </c>
      <c r="BB88" s="306">
        <f t="shared" si="221"/>
        <v>0</v>
      </c>
      <c r="BC88" s="306">
        <f t="shared" si="221"/>
        <v>0</v>
      </c>
      <c r="BD88" s="589"/>
      <c r="BE88" s="84">
        <f t="shared" ref="BE88:BH88" si="222">BE41*BE$50</f>
        <v>0</v>
      </c>
      <c r="BF88" s="84">
        <f t="shared" si="222"/>
        <v>0</v>
      </c>
      <c r="BG88" s="84">
        <f t="shared" si="222"/>
        <v>0</v>
      </c>
      <c r="BH88" s="84">
        <f t="shared" si="222"/>
        <v>0</v>
      </c>
      <c r="BI88" s="589"/>
      <c r="BJ88" s="84">
        <f t="shared" ref="BJ88:BW88" si="223">BJ41*BJ$50/60</f>
        <v>0</v>
      </c>
      <c r="BK88" s="84">
        <f t="shared" si="223"/>
        <v>0</v>
      </c>
      <c r="BL88" s="84">
        <f t="shared" si="223"/>
        <v>0</v>
      </c>
      <c r="BM88" s="84">
        <f t="shared" si="223"/>
        <v>5192307.692307692</v>
      </c>
      <c r="BN88" s="84">
        <f t="shared" si="223"/>
        <v>0</v>
      </c>
      <c r="BO88" s="84">
        <f t="shared" si="223"/>
        <v>0</v>
      </c>
      <c r="BP88" s="84">
        <f t="shared" si="223"/>
        <v>0</v>
      </c>
      <c r="BQ88" s="84">
        <f t="shared" si="223"/>
        <v>0</v>
      </c>
      <c r="BR88" s="84">
        <f t="shared" si="223"/>
        <v>0</v>
      </c>
      <c r="BS88" s="84">
        <f t="shared" si="223"/>
        <v>0</v>
      </c>
      <c r="BT88" s="84">
        <f t="shared" si="223"/>
        <v>0</v>
      </c>
      <c r="BU88" s="84">
        <f t="shared" si="223"/>
        <v>0</v>
      </c>
      <c r="BV88" s="84">
        <f t="shared" si="223"/>
        <v>0</v>
      </c>
      <c r="BW88" s="84">
        <f t="shared" si="223"/>
        <v>0</v>
      </c>
      <c r="BX88" s="595"/>
      <c r="BY88" s="100">
        <f t="shared" si="17"/>
        <v>5192307.692307692</v>
      </c>
    </row>
    <row r="89" spans="1:84" x14ac:dyDescent="0.25">
      <c r="A89" s="418"/>
      <c r="B89" s="96" t="str">
        <f t="shared" si="54"/>
        <v>NV45</v>
      </c>
      <c r="C89" s="96" t="str">
        <f t="shared" si="54"/>
        <v>Đặng Hải Bằng</v>
      </c>
      <c r="D89" s="96" t="str">
        <f t="shared" si="54"/>
        <v xml:space="preserve">Công nhân </v>
      </c>
      <c r="E89" s="84">
        <f t="shared" ref="E89:T89" si="224">E42*E$50</f>
        <v>0</v>
      </c>
      <c r="F89" s="84">
        <f t="shared" si="224"/>
        <v>0</v>
      </c>
      <c r="G89" s="84">
        <f t="shared" si="224"/>
        <v>0</v>
      </c>
      <c r="H89" s="84">
        <f t="shared" si="224"/>
        <v>0</v>
      </c>
      <c r="I89" s="84">
        <f t="shared" si="224"/>
        <v>0</v>
      </c>
      <c r="J89" s="84">
        <f t="shared" si="224"/>
        <v>0</v>
      </c>
      <c r="K89" s="84">
        <f t="shared" si="224"/>
        <v>0</v>
      </c>
      <c r="L89" s="84">
        <f t="shared" si="224"/>
        <v>0</v>
      </c>
      <c r="M89" s="84">
        <f t="shared" si="224"/>
        <v>0</v>
      </c>
      <c r="N89" s="84">
        <f t="shared" si="224"/>
        <v>0</v>
      </c>
      <c r="O89" s="84">
        <f t="shared" si="224"/>
        <v>0</v>
      </c>
      <c r="P89" s="84">
        <f t="shared" si="224"/>
        <v>0</v>
      </c>
      <c r="Q89" s="84">
        <f t="shared" si="224"/>
        <v>0</v>
      </c>
      <c r="R89" s="84">
        <f t="shared" si="224"/>
        <v>0</v>
      </c>
      <c r="S89" s="84">
        <f t="shared" si="224"/>
        <v>0</v>
      </c>
      <c r="T89" s="84">
        <f t="shared" si="224"/>
        <v>0</v>
      </c>
      <c r="U89" s="589"/>
      <c r="V89" s="84">
        <f t="shared" ref="V89:AJ89" si="225">V42*V$50</f>
        <v>0</v>
      </c>
      <c r="W89" s="84">
        <f t="shared" si="225"/>
        <v>0</v>
      </c>
      <c r="X89" s="84">
        <f t="shared" si="225"/>
        <v>0</v>
      </c>
      <c r="Y89" s="84">
        <f t="shared" si="225"/>
        <v>0</v>
      </c>
      <c r="Z89" s="84">
        <f t="shared" si="225"/>
        <v>0</v>
      </c>
      <c r="AA89" s="84">
        <f t="shared" si="225"/>
        <v>0</v>
      </c>
      <c r="AB89" s="84">
        <f t="shared" si="225"/>
        <v>0</v>
      </c>
      <c r="AC89" s="84">
        <f t="shared" si="225"/>
        <v>0</v>
      </c>
      <c r="AD89" s="84">
        <f t="shared" si="225"/>
        <v>0</v>
      </c>
      <c r="AE89" s="84">
        <f t="shared" si="225"/>
        <v>0</v>
      </c>
      <c r="AF89" s="84">
        <f t="shared" si="225"/>
        <v>0</v>
      </c>
      <c r="AG89" s="84">
        <f t="shared" si="225"/>
        <v>0</v>
      </c>
      <c r="AH89" s="84">
        <f t="shared" si="225"/>
        <v>0</v>
      </c>
      <c r="AI89" s="84">
        <f t="shared" si="225"/>
        <v>0</v>
      </c>
      <c r="AJ89" s="84">
        <f t="shared" si="225"/>
        <v>0</v>
      </c>
      <c r="AK89" s="589"/>
      <c r="AL89" s="84">
        <f t="shared" ref="AL89:AO89" si="226">AL42*AL$50</f>
        <v>0</v>
      </c>
      <c r="AM89" s="84">
        <f t="shared" si="226"/>
        <v>0</v>
      </c>
      <c r="AN89" s="84">
        <f t="shared" si="226"/>
        <v>0</v>
      </c>
      <c r="AO89" s="84">
        <f t="shared" si="226"/>
        <v>0</v>
      </c>
      <c r="AP89" s="593"/>
      <c r="AQ89" s="332">
        <f t="shared" ref="AQ89:BC89" si="227">AQ42*AQ$50</f>
        <v>0</v>
      </c>
      <c r="AR89" s="332">
        <f t="shared" si="227"/>
        <v>0</v>
      </c>
      <c r="AS89" s="332">
        <f t="shared" si="227"/>
        <v>0</v>
      </c>
      <c r="AT89" s="332">
        <f t="shared" si="227"/>
        <v>0</v>
      </c>
      <c r="AU89" s="332">
        <f t="shared" si="227"/>
        <v>0</v>
      </c>
      <c r="AV89" s="332">
        <f t="shared" si="227"/>
        <v>0</v>
      </c>
      <c r="AW89" s="306">
        <f t="shared" si="227"/>
        <v>0</v>
      </c>
      <c r="AX89" s="306">
        <f t="shared" si="227"/>
        <v>0</v>
      </c>
      <c r="AY89" s="306">
        <f t="shared" si="227"/>
        <v>0</v>
      </c>
      <c r="AZ89" s="306">
        <f t="shared" si="227"/>
        <v>0</v>
      </c>
      <c r="BA89" s="306">
        <f t="shared" si="227"/>
        <v>0</v>
      </c>
      <c r="BB89" s="306">
        <f t="shared" si="227"/>
        <v>0</v>
      </c>
      <c r="BC89" s="306">
        <f t="shared" si="227"/>
        <v>0</v>
      </c>
      <c r="BD89" s="589"/>
      <c r="BE89" s="84">
        <f t="shared" ref="BE89:BH89" si="228">BE42*BE$50</f>
        <v>0</v>
      </c>
      <c r="BF89" s="84">
        <f t="shared" si="228"/>
        <v>0</v>
      </c>
      <c r="BG89" s="84">
        <f t="shared" si="228"/>
        <v>0</v>
      </c>
      <c r="BH89" s="84">
        <f t="shared" si="228"/>
        <v>0</v>
      </c>
      <c r="BI89" s="589"/>
      <c r="BJ89" s="84">
        <f t="shared" ref="BJ89:BW89" si="229">BJ42*BJ$50/60</f>
        <v>0</v>
      </c>
      <c r="BK89" s="84">
        <f t="shared" si="229"/>
        <v>0</v>
      </c>
      <c r="BL89" s="84">
        <f t="shared" si="229"/>
        <v>0</v>
      </c>
      <c r="BM89" s="84">
        <f t="shared" si="229"/>
        <v>4500000</v>
      </c>
      <c r="BN89" s="84">
        <f t="shared" si="229"/>
        <v>0</v>
      </c>
      <c r="BO89" s="84">
        <f t="shared" si="229"/>
        <v>0</v>
      </c>
      <c r="BP89" s="84">
        <f t="shared" si="229"/>
        <v>0</v>
      </c>
      <c r="BQ89" s="84">
        <f t="shared" si="229"/>
        <v>0</v>
      </c>
      <c r="BR89" s="84">
        <f t="shared" si="229"/>
        <v>0</v>
      </c>
      <c r="BS89" s="84">
        <f t="shared" si="229"/>
        <v>0</v>
      </c>
      <c r="BT89" s="84">
        <f t="shared" si="229"/>
        <v>0</v>
      </c>
      <c r="BU89" s="84">
        <f t="shared" si="229"/>
        <v>0</v>
      </c>
      <c r="BV89" s="84">
        <f t="shared" si="229"/>
        <v>0</v>
      </c>
      <c r="BW89" s="84">
        <f t="shared" si="229"/>
        <v>0</v>
      </c>
      <c r="BX89" s="595"/>
      <c r="BY89" s="100">
        <f t="shared" si="17"/>
        <v>4500000</v>
      </c>
    </row>
    <row r="90" spans="1:84" x14ac:dyDescent="0.25">
      <c r="A90" s="418"/>
      <c r="B90" s="96" t="str">
        <f t="shared" ref="B90:D91" si="230">B43</f>
        <v>NV49</v>
      </c>
      <c r="C90" s="96" t="str">
        <f t="shared" si="230"/>
        <v>Nguyễn Đình Tâm</v>
      </c>
      <c r="D90" s="96" t="str">
        <f t="shared" si="230"/>
        <v xml:space="preserve">Công nhân </v>
      </c>
      <c r="E90" s="84">
        <f t="shared" ref="E90:T91" si="231">E43*E$50</f>
        <v>0</v>
      </c>
      <c r="F90" s="84">
        <f t="shared" si="231"/>
        <v>0</v>
      </c>
      <c r="G90" s="84">
        <f t="shared" si="231"/>
        <v>0</v>
      </c>
      <c r="H90" s="84">
        <f t="shared" si="231"/>
        <v>0</v>
      </c>
      <c r="I90" s="84">
        <f t="shared" si="231"/>
        <v>0</v>
      </c>
      <c r="J90" s="84">
        <f t="shared" si="231"/>
        <v>0</v>
      </c>
      <c r="K90" s="84">
        <f t="shared" si="231"/>
        <v>0</v>
      </c>
      <c r="L90" s="84">
        <f t="shared" si="231"/>
        <v>0</v>
      </c>
      <c r="M90" s="84">
        <f t="shared" si="231"/>
        <v>0</v>
      </c>
      <c r="N90" s="84">
        <f t="shared" si="231"/>
        <v>0</v>
      </c>
      <c r="O90" s="84">
        <f t="shared" si="231"/>
        <v>0</v>
      </c>
      <c r="P90" s="84">
        <f t="shared" si="231"/>
        <v>0</v>
      </c>
      <c r="Q90" s="84">
        <f t="shared" si="231"/>
        <v>0</v>
      </c>
      <c r="R90" s="84">
        <f t="shared" si="231"/>
        <v>0</v>
      </c>
      <c r="S90" s="84">
        <f t="shared" si="231"/>
        <v>0</v>
      </c>
      <c r="T90" s="84">
        <f t="shared" si="231"/>
        <v>0</v>
      </c>
      <c r="U90" s="589"/>
      <c r="V90" s="84">
        <f t="shared" ref="V90:AJ91" si="232">V43*V$50</f>
        <v>0</v>
      </c>
      <c r="W90" s="84">
        <f t="shared" si="232"/>
        <v>0</v>
      </c>
      <c r="X90" s="84">
        <f t="shared" si="232"/>
        <v>0</v>
      </c>
      <c r="Y90" s="84">
        <f t="shared" si="232"/>
        <v>0</v>
      </c>
      <c r="Z90" s="84">
        <f t="shared" si="232"/>
        <v>0</v>
      </c>
      <c r="AA90" s="84">
        <f t="shared" si="232"/>
        <v>0</v>
      </c>
      <c r="AB90" s="84">
        <f t="shared" si="232"/>
        <v>0</v>
      </c>
      <c r="AC90" s="84">
        <f t="shared" si="232"/>
        <v>0</v>
      </c>
      <c r="AD90" s="84">
        <f t="shared" si="232"/>
        <v>0</v>
      </c>
      <c r="AE90" s="84">
        <f t="shared" si="232"/>
        <v>0</v>
      </c>
      <c r="AF90" s="84">
        <f t="shared" si="232"/>
        <v>0</v>
      </c>
      <c r="AG90" s="84">
        <f t="shared" si="232"/>
        <v>0</v>
      </c>
      <c r="AH90" s="84">
        <f t="shared" si="232"/>
        <v>0</v>
      </c>
      <c r="AI90" s="84">
        <f t="shared" si="232"/>
        <v>0</v>
      </c>
      <c r="AJ90" s="84">
        <f t="shared" si="232"/>
        <v>0</v>
      </c>
      <c r="AK90" s="589"/>
      <c r="AL90" s="84">
        <f t="shared" ref="AL90:AO91" si="233">AL43*AL$50</f>
        <v>0</v>
      </c>
      <c r="AM90" s="84">
        <f t="shared" si="233"/>
        <v>0</v>
      </c>
      <c r="AN90" s="84">
        <f t="shared" si="233"/>
        <v>0</v>
      </c>
      <c r="AO90" s="84">
        <f t="shared" si="233"/>
        <v>0</v>
      </c>
      <c r="AP90" s="593"/>
      <c r="AQ90" s="332">
        <f t="shared" ref="AQ90:BC91" si="234">AQ43*AQ$50</f>
        <v>0</v>
      </c>
      <c r="AR90" s="332">
        <f t="shared" si="234"/>
        <v>0</v>
      </c>
      <c r="AS90" s="332">
        <f t="shared" si="234"/>
        <v>0</v>
      </c>
      <c r="AT90" s="332">
        <f t="shared" si="234"/>
        <v>0</v>
      </c>
      <c r="AU90" s="332">
        <f t="shared" si="234"/>
        <v>0</v>
      </c>
      <c r="AV90" s="332">
        <f t="shared" si="234"/>
        <v>0</v>
      </c>
      <c r="AW90" s="306">
        <f t="shared" si="234"/>
        <v>0</v>
      </c>
      <c r="AX90" s="306">
        <f t="shared" si="234"/>
        <v>0</v>
      </c>
      <c r="AY90" s="306">
        <f t="shared" si="234"/>
        <v>0</v>
      </c>
      <c r="AZ90" s="306">
        <f t="shared" si="234"/>
        <v>0</v>
      </c>
      <c r="BA90" s="306">
        <f t="shared" si="234"/>
        <v>0</v>
      </c>
      <c r="BB90" s="306">
        <f t="shared" si="234"/>
        <v>0</v>
      </c>
      <c r="BC90" s="306">
        <f t="shared" si="234"/>
        <v>0</v>
      </c>
      <c r="BD90" s="589"/>
      <c r="BE90" s="84">
        <f t="shared" ref="BE90:BH91" si="235">BE43*BE$50</f>
        <v>0</v>
      </c>
      <c r="BF90" s="84">
        <f t="shared" si="235"/>
        <v>0</v>
      </c>
      <c r="BG90" s="84">
        <f t="shared" si="235"/>
        <v>0</v>
      </c>
      <c r="BH90" s="84">
        <f t="shared" si="235"/>
        <v>0</v>
      </c>
      <c r="BI90" s="589"/>
      <c r="BJ90" s="84">
        <f t="shared" ref="BJ90:BW91" si="236">BJ43*BJ$50/60</f>
        <v>0</v>
      </c>
      <c r="BK90" s="84">
        <f t="shared" si="236"/>
        <v>0</v>
      </c>
      <c r="BL90" s="84">
        <f t="shared" si="236"/>
        <v>0</v>
      </c>
      <c r="BM90" s="84">
        <f t="shared" si="236"/>
        <v>5019230.769230769</v>
      </c>
      <c r="BN90" s="84">
        <f t="shared" si="236"/>
        <v>0</v>
      </c>
      <c r="BO90" s="84">
        <f t="shared" si="236"/>
        <v>0</v>
      </c>
      <c r="BP90" s="84">
        <f t="shared" si="236"/>
        <v>0</v>
      </c>
      <c r="BQ90" s="84">
        <f t="shared" si="236"/>
        <v>0</v>
      </c>
      <c r="BR90" s="84">
        <f t="shared" si="236"/>
        <v>0</v>
      </c>
      <c r="BS90" s="84">
        <f t="shared" si="236"/>
        <v>0</v>
      </c>
      <c r="BT90" s="84">
        <f t="shared" si="236"/>
        <v>0</v>
      </c>
      <c r="BU90" s="84">
        <f t="shared" si="236"/>
        <v>0</v>
      </c>
      <c r="BV90" s="84">
        <f t="shared" si="236"/>
        <v>0</v>
      </c>
      <c r="BW90" s="84">
        <f t="shared" si="236"/>
        <v>0</v>
      </c>
      <c r="BX90" s="595"/>
      <c r="BY90" s="100">
        <f t="shared" si="17"/>
        <v>5019230.769230769</v>
      </c>
    </row>
    <row r="91" spans="1:84" x14ac:dyDescent="0.25">
      <c r="A91" s="418"/>
      <c r="B91" s="96" t="str">
        <f t="shared" si="230"/>
        <v>NV51</v>
      </c>
      <c r="C91" s="96" t="str">
        <f t="shared" si="230"/>
        <v>Nguyễn Văn Chương</v>
      </c>
      <c r="D91" s="96" t="str">
        <f t="shared" si="230"/>
        <v xml:space="preserve">Công nhân </v>
      </c>
      <c r="E91" s="84">
        <f t="shared" si="231"/>
        <v>0</v>
      </c>
      <c r="F91" s="84">
        <f t="shared" si="231"/>
        <v>0</v>
      </c>
      <c r="G91" s="84">
        <f t="shared" si="231"/>
        <v>0</v>
      </c>
      <c r="H91" s="84">
        <f t="shared" si="231"/>
        <v>0</v>
      </c>
      <c r="I91" s="84">
        <f t="shared" si="231"/>
        <v>0</v>
      </c>
      <c r="J91" s="84">
        <f t="shared" si="231"/>
        <v>0</v>
      </c>
      <c r="K91" s="84">
        <f t="shared" si="231"/>
        <v>0</v>
      </c>
      <c r="L91" s="84">
        <f t="shared" si="231"/>
        <v>0</v>
      </c>
      <c r="M91" s="84">
        <f t="shared" si="231"/>
        <v>0</v>
      </c>
      <c r="N91" s="84">
        <f t="shared" si="231"/>
        <v>0</v>
      </c>
      <c r="O91" s="84">
        <f t="shared" si="231"/>
        <v>0</v>
      </c>
      <c r="P91" s="84">
        <f t="shared" si="231"/>
        <v>0</v>
      </c>
      <c r="Q91" s="84">
        <f t="shared" si="231"/>
        <v>0</v>
      </c>
      <c r="R91" s="84">
        <f t="shared" si="231"/>
        <v>0</v>
      </c>
      <c r="S91" s="84">
        <f t="shared" si="231"/>
        <v>0</v>
      </c>
      <c r="T91" s="84">
        <f t="shared" si="231"/>
        <v>0</v>
      </c>
      <c r="U91" s="589"/>
      <c r="V91" s="84">
        <f t="shared" si="232"/>
        <v>0</v>
      </c>
      <c r="W91" s="84">
        <f t="shared" si="232"/>
        <v>0</v>
      </c>
      <c r="X91" s="84">
        <f t="shared" si="232"/>
        <v>0</v>
      </c>
      <c r="Y91" s="84">
        <f t="shared" si="232"/>
        <v>0</v>
      </c>
      <c r="Z91" s="84">
        <f t="shared" si="232"/>
        <v>0</v>
      </c>
      <c r="AA91" s="84">
        <f t="shared" si="232"/>
        <v>0</v>
      </c>
      <c r="AB91" s="84">
        <f t="shared" si="232"/>
        <v>0</v>
      </c>
      <c r="AC91" s="84">
        <f t="shared" si="232"/>
        <v>0</v>
      </c>
      <c r="AD91" s="84">
        <f t="shared" si="232"/>
        <v>0</v>
      </c>
      <c r="AE91" s="84">
        <f t="shared" si="232"/>
        <v>0</v>
      </c>
      <c r="AF91" s="84">
        <f t="shared" si="232"/>
        <v>0</v>
      </c>
      <c r="AG91" s="84">
        <f t="shared" si="232"/>
        <v>0</v>
      </c>
      <c r="AH91" s="84">
        <f t="shared" si="232"/>
        <v>0</v>
      </c>
      <c r="AI91" s="84">
        <f t="shared" si="232"/>
        <v>0</v>
      </c>
      <c r="AJ91" s="84">
        <f t="shared" si="232"/>
        <v>0</v>
      </c>
      <c r="AK91" s="589"/>
      <c r="AL91" s="84">
        <f t="shared" si="233"/>
        <v>0</v>
      </c>
      <c r="AM91" s="84">
        <f t="shared" si="233"/>
        <v>0</v>
      </c>
      <c r="AN91" s="84">
        <f t="shared" si="233"/>
        <v>0</v>
      </c>
      <c r="AO91" s="84">
        <f t="shared" si="233"/>
        <v>0</v>
      </c>
      <c r="AP91" s="593"/>
      <c r="AQ91" s="332">
        <f t="shared" si="234"/>
        <v>0</v>
      </c>
      <c r="AR91" s="332">
        <f t="shared" si="234"/>
        <v>0</v>
      </c>
      <c r="AS91" s="332">
        <f t="shared" si="234"/>
        <v>0</v>
      </c>
      <c r="AT91" s="332">
        <f t="shared" si="234"/>
        <v>0</v>
      </c>
      <c r="AU91" s="332">
        <f t="shared" si="234"/>
        <v>0</v>
      </c>
      <c r="AV91" s="332">
        <f t="shared" si="234"/>
        <v>0</v>
      </c>
      <c r="AW91" s="306">
        <f t="shared" si="234"/>
        <v>0</v>
      </c>
      <c r="AX91" s="306">
        <f t="shared" si="234"/>
        <v>0</v>
      </c>
      <c r="AY91" s="306">
        <f t="shared" si="234"/>
        <v>0</v>
      </c>
      <c r="AZ91" s="306">
        <f t="shared" si="234"/>
        <v>0</v>
      </c>
      <c r="BA91" s="306">
        <f t="shared" si="234"/>
        <v>0</v>
      </c>
      <c r="BB91" s="306">
        <f t="shared" si="234"/>
        <v>0</v>
      </c>
      <c r="BC91" s="306">
        <f t="shared" si="234"/>
        <v>0</v>
      </c>
      <c r="BD91" s="589"/>
      <c r="BE91" s="84">
        <f t="shared" si="235"/>
        <v>0</v>
      </c>
      <c r="BF91" s="84">
        <f t="shared" si="235"/>
        <v>0</v>
      </c>
      <c r="BG91" s="84">
        <f t="shared" si="235"/>
        <v>0</v>
      </c>
      <c r="BH91" s="84">
        <f t="shared" si="235"/>
        <v>0</v>
      </c>
      <c r="BI91" s="589"/>
      <c r="BJ91" s="84">
        <f t="shared" si="236"/>
        <v>0</v>
      </c>
      <c r="BK91" s="84">
        <f t="shared" si="236"/>
        <v>0</v>
      </c>
      <c r="BL91" s="84">
        <f t="shared" si="236"/>
        <v>0</v>
      </c>
      <c r="BM91" s="84">
        <f t="shared" si="236"/>
        <v>5019230.769230769</v>
      </c>
      <c r="BN91" s="84">
        <f t="shared" si="236"/>
        <v>0</v>
      </c>
      <c r="BO91" s="84">
        <f t="shared" si="236"/>
        <v>0</v>
      </c>
      <c r="BP91" s="84">
        <f t="shared" si="236"/>
        <v>0</v>
      </c>
      <c r="BQ91" s="84">
        <f t="shared" si="236"/>
        <v>0</v>
      </c>
      <c r="BR91" s="84">
        <f t="shared" si="236"/>
        <v>0</v>
      </c>
      <c r="BS91" s="84">
        <f t="shared" si="236"/>
        <v>0</v>
      </c>
      <c r="BT91" s="84">
        <f t="shared" si="236"/>
        <v>0</v>
      </c>
      <c r="BU91" s="84">
        <f t="shared" si="236"/>
        <v>0</v>
      </c>
      <c r="BV91" s="84">
        <f t="shared" si="236"/>
        <v>0</v>
      </c>
      <c r="BW91" s="84">
        <f t="shared" si="236"/>
        <v>0</v>
      </c>
      <c r="BX91" s="595"/>
      <c r="BY91" s="100">
        <f t="shared" si="17"/>
        <v>5019230.769230769</v>
      </c>
    </row>
    <row r="92" spans="1:84" x14ac:dyDescent="0.25">
      <c r="A92" s="418">
        <f>A45</f>
        <v>40</v>
      </c>
      <c r="B92" s="96" t="str">
        <f t="shared" ref="B92:C92" si="237">B45</f>
        <v>NV42</v>
      </c>
      <c r="C92" s="96" t="str">
        <f t="shared" si="237"/>
        <v>Ngô Đình Chung</v>
      </c>
      <c r="D92" s="96" t="str">
        <f>D45</f>
        <v>GS Vườn rau</v>
      </c>
      <c r="E92" s="84">
        <f t="shared" ref="E92:T92" si="238">E45*E$50</f>
        <v>0</v>
      </c>
      <c r="F92" s="84">
        <f t="shared" si="238"/>
        <v>0</v>
      </c>
      <c r="G92" s="84">
        <f t="shared" si="238"/>
        <v>0</v>
      </c>
      <c r="H92" s="84">
        <f t="shared" si="238"/>
        <v>0</v>
      </c>
      <c r="I92" s="84">
        <f t="shared" si="238"/>
        <v>0</v>
      </c>
      <c r="J92" s="84">
        <f t="shared" si="238"/>
        <v>0</v>
      </c>
      <c r="K92" s="84">
        <f t="shared" si="238"/>
        <v>0</v>
      </c>
      <c r="L92" s="84">
        <f t="shared" si="238"/>
        <v>0</v>
      </c>
      <c r="M92" s="84">
        <f t="shared" si="238"/>
        <v>0</v>
      </c>
      <c r="N92" s="84">
        <f t="shared" si="238"/>
        <v>0</v>
      </c>
      <c r="O92" s="84">
        <f t="shared" si="238"/>
        <v>0</v>
      </c>
      <c r="P92" s="84">
        <f t="shared" si="238"/>
        <v>0</v>
      </c>
      <c r="Q92" s="84">
        <f t="shared" si="238"/>
        <v>0</v>
      </c>
      <c r="R92" s="84">
        <f t="shared" si="238"/>
        <v>0</v>
      </c>
      <c r="S92" s="84">
        <f t="shared" si="238"/>
        <v>0</v>
      </c>
      <c r="T92" s="84">
        <f t="shared" si="238"/>
        <v>0</v>
      </c>
      <c r="U92" s="589"/>
      <c r="V92" s="84">
        <f t="shared" ref="V92:AJ92" si="239">V45*V$50</f>
        <v>0</v>
      </c>
      <c r="W92" s="84">
        <f t="shared" si="239"/>
        <v>0</v>
      </c>
      <c r="X92" s="84">
        <f t="shared" si="239"/>
        <v>0</v>
      </c>
      <c r="Y92" s="84">
        <f t="shared" si="239"/>
        <v>0</v>
      </c>
      <c r="Z92" s="84">
        <f t="shared" si="239"/>
        <v>0</v>
      </c>
      <c r="AA92" s="84">
        <f t="shared" si="239"/>
        <v>0</v>
      </c>
      <c r="AB92" s="84">
        <f t="shared" si="239"/>
        <v>0</v>
      </c>
      <c r="AC92" s="84">
        <f t="shared" si="239"/>
        <v>0</v>
      </c>
      <c r="AD92" s="84">
        <f t="shared" si="239"/>
        <v>0</v>
      </c>
      <c r="AE92" s="84">
        <f t="shared" si="239"/>
        <v>0</v>
      </c>
      <c r="AF92" s="84">
        <f t="shared" si="239"/>
        <v>0</v>
      </c>
      <c r="AG92" s="84">
        <f t="shared" si="239"/>
        <v>0</v>
      </c>
      <c r="AH92" s="84">
        <f t="shared" si="239"/>
        <v>0</v>
      </c>
      <c r="AI92" s="84">
        <f t="shared" si="239"/>
        <v>0</v>
      </c>
      <c r="AJ92" s="84">
        <f t="shared" si="239"/>
        <v>0</v>
      </c>
      <c r="AK92" s="589"/>
      <c r="AL92" s="84">
        <f t="shared" ref="AL92:AO92" si="240">AL45*AL$50</f>
        <v>0</v>
      </c>
      <c r="AM92" s="84">
        <f t="shared" si="240"/>
        <v>0</v>
      </c>
      <c r="AN92" s="84">
        <f t="shared" si="240"/>
        <v>0</v>
      </c>
      <c r="AO92" s="84">
        <f t="shared" si="240"/>
        <v>0</v>
      </c>
      <c r="AP92" s="593"/>
      <c r="AQ92" s="332">
        <f t="shared" ref="AQ92:BC92" si="241">AQ45*AQ$50</f>
        <v>0</v>
      </c>
      <c r="AR92" s="332">
        <f t="shared" si="241"/>
        <v>0</v>
      </c>
      <c r="AS92" s="332">
        <f t="shared" si="241"/>
        <v>0</v>
      </c>
      <c r="AT92" s="332">
        <f t="shared" si="241"/>
        <v>0</v>
      </c>
      <c r="AU92" s="332">
        <f t="shared" si="241"/>
        <v>0</v>
      </c>
      <c r="AV92" s="332">
        <f t="shared" si="241"/>
        <v>0</v>
      </c>
      <c r="AW92" s="306">
        <f t="shared" si="241"/>
        <v>0</v>
      </c>
      <c r="AX92" s="306">
        <f t="shared" si="241"/>
        <v>0</v>
      </c>
      <c r="AY92" s="306">
        <f t="shared" si="241"/>
        <v>0</v>
      </c>
      <c r="AZ92" s="306">
        <f t="shared" si="241"/>
        <v>0</v>
      </c>
      <c r="BA92" s="306">
        <f t="shared" si="241"/>
        <v>0</v>
      </c>
      <c r="BB92" s="306">
        <f t="shared" si="241"/>
        <v>0</v>
      </c>
      <c r="BC92" s="306">
        <f t="shared" si="241"/>
        <v>0</v>
      </c>
      <c r="BD92" s="589"/>
      <c r="BE92" s="84">
        <f t="shared" ref="BE92:BH92" si="242">BE45*BE$50</f>
        <v>0</v>
      </c>
      <c r="BF92" s="84">
        <f t="shared" si="242"/>
        <v>0</v>
      </c>
      <c r="BG92" s="84">
        <f t="shared" si="242"/>
        <v>0</v>
      </c>
      <c r="BH92" s="84">
        <f t="shared" si="242"/>
        <v>0</v>
      </c>
      <c r="BI92" s="589"/>
      <c r="BJ92" s="84">
        <f t="shared" ref="BJ92:BW92" si="243">BJ45*BJ$50/60</f>
        <v>0</v>
      </c>
      <c r="BK92" s="84">
        <f t="shared" si="243"/>
        <v>0</v>
      </c>
      <c r="BL92" s="84">
        <f t="shared" si="243"/>
        <v>0</v>
      </c>
      <c r="BM92" s="84">
        <f t="shared" si="243"/>
        <v>0</v>
      </c>
      <c r="BN92" s="84">
        <f t="shared" si="243"/>
        <v>0</v>
      </c>
      <c r="BO92" s="84">
        <f t="shared" si="243"/>
        <v>0</v>
      </c>
      <c r="BP92" s="84">
        <f t="shared" si="243"/>
        <v>0</v>
      </c>
      <c r="BQ92" s="84">
        <f t="shared" si="243"/>
        <v>0</v>
      </c>
      <c r="BR92" s="84">
        <f t="shared" si="243"/>
        <v>0</v>
      </c>
      <c r="BS92" s="84">
        <f t="shared" si="243"/>
        <v>0</v>
      </c>
      <c r="BT92" s="84">
        <f t="shared" si="243"/>
        <v>0</v>
      </c>
      <c r="BU92" s="84">
        <f t="shared" si="243"/>
        <v>0</v>
      </c>
      <c r="BV92" s="84">
        <f t="shared" si="243"/>
        <v>0</v>
      </c>
      <c r="BW92" s="84">
        <f t="shared" si="243"/>
        <v>0</v>
      </c>
      <c r="BX92" s="595"/>
      <c r="BY92" s="100">
        <f t="shared" si="17"/>
        <v>0</v>
      </c>
    </row>
    <row r="93" spans="1:84" x14ac:dyDescent="0.25">
      <c r="A93" s="418">
        <f>A46</f>
        <v>41</v>
      </c>
      <c r="B93" s="96" t="str">
        <f t="shared" ref="B93:C93" si="244">B46</f>
        <v>NV43</v>
      </c>
      <c r="C93" s="96" t="str">
        <f t="shared" si="244"/>
        <v>Triệu Minh Tuấn</v>
      </c>
      <c r="D93" s="96" t="str">
        <f>D46</f>
        <v xml:space="preserve">Công nhân </v>
      </c>
      <c r="E93" s="84">
        <f t="shared" ref="E93:T93" si="245">E46*E$50</f>
        <v>0</v>
      </c>
      <c r="F93" s="84">
        <f t="shared" si="245"/>
        <v>0</v>
      </c>
      <c r="G93" s="84">
        <f t="shared" si="245"/>
        <v>0</v>
      </c>
      <c r="H93" s="84">
        <f t="shared" si="245"/>
        <v>0</v>
      </c>
      <c r="I93" s="84">
        <f t="shared" si="245"/>
        <v>0</v>
      </c>
      <c r="J93" s="84">
        <f t="shared" si="245"/>
        <v>0</v>
      </c>
      <c r="K93" s="84">
        <f t="shared" si="245"/>
        <v>0</v>
      </c>
      <c r="L93" s="84">
        <f t="shared" si="245"/>
        <v>0</v>
      </c>
      <c r="M93" s="84">
        <f t="shared" si="245"/>
        <v>0</v>
      </c>
      <c r="N93" s="84">
        <f t="shared" si="245"/>
        <v>0</v>
      </c>
      <c r="O93" s="84">
        <f t="shared" si="245"/>
        <v>0</v>
      </c>
      <c r="P93" s="84">
        <f t="shared" si="245"/>
        <v>0</v>
      </c>
      <c r="Q93" s="84">
        <f t="shared" si="245"/>
        <v>0</v>
      </c>
      <c r="R93" s="84">
        <f t="shared" si="245"/>
        <v>0</v>
      </c>
      <c r="S93" s="84">
        <f t="shared" si="245"/>
        <v>0</v>
      </c>
      <c r="T93" s="84">
        <f t="shared" si="245"/>
        <v>0</v>
      </c>
      <c r="U93" s="589"/>
      <c r="V93" s="84">
        <f t="shared" ref="V93:AJ93" si="246">V46*V$50</f>
        <v>0</v>
      </c>
      <c r="W93" s="84">
        <f t="shared" si="246"/>
        <v>0</v>
      </c>
      <c r="X93" s="84">
        <f t="shared" si="246"/>
        <v>0</v>
      </c>
      <c r="Y93" s="84">
        <f t="shared" si="246"/>
        <v>0</v>
      </c>
      <c r="Z93" s="84">
        <f t="shared" si="246"/>
        <v>0</v>
      </c>
      <c r="AA93" s="84">
        <f t="shared" si="246"/>
        <v>0</v>
      </c>
      <c r="AB93" s="84">
        <f t="shared" si="246"/>
        <v>0</v>
      </c>
      <c r="AC93" s="84">
        <f t="shared" si="246"/>
        <v>0</v>
      </c>
      <c r="AD93" s="84">
        <f t="shared" si="246"/>
        <v>0</v>
      </c>
      <c r="AE93" s="84">
        <f t="shared" si="246"/>
        <v>0</v>
      </c>
      <c r="AF93" s="84">
        <f t="shared" si="246"/>
        <v>0</v>
      </c>
      <c r="AG93" s="84">
        <f t="shared" si="246"/>
        <v>0</v>
      </c>
      <c r="AH93" s="84">
        <f t="shared" si="246"/>
        <v>0</v>
      </c>
      <c r="AI93" s="84">
        <f t="shared" si="246"/>
        <v>0</v>
      </c>
      <c r="AJ93" s="84">
        <f t="shared" si="246"/>
        <v>0</v>
      </c>
      <c r="AK93" s="589"/>
      <c r="AL93" s="84">
        <f t="shared" ref="AL93:AO93" si="247">AL46*AL$50</f>
        <v>0</v>
      </c>
      <c r="AM93" s="84">
        <f t="shared" si="247"/>
        <v>0</v>
      </c>
      <c r="AN93" s="84">
        <f t="shared" si="247"/>
        <v>0</v>
      </c>
      <c r="AO93" s="84">
        <f t="shared" si="247"/>
        <v>0</v>
      </c>
      <c r="AP93" s="593"/>
      <c r="AQ93" s="332">
        <f t="shared" ref="AQ93:BC93" si="248">AQ46*AQ$50</f>
        <v>0</v>
      </c>
      <c r="AR93" s="332">
        <f t="shared" si="248"/>
        <v>0</v>
      </c>
      <c r="AS93" s="332">
        <f t="shared" si="248"/>
        <v>0</v>
      </c>
      <c r="AT93" s="332">
        <f t="shared" si="248"/>
        <v>0</v>
      </c>
      <c r="AU93" s="332">
        <f t="shared" si="248"/>
        <v>0</v>
      </c>
      <c r="AV93" s="332">
        <f t="shared" si="248"/>
        <v>0</v>
      </c>
      <c r="AW93" s="306">
        <f t="shared" si="248"/>
        <v>0</v>
      </c>
      <c r="AX93" s="306">
        <f t="shared" si="248"/>
        <v>0</v>
      </c>
      <c r="AY93" s="306">
        <f t="shared" si="248"/>
        <v>0</v>
      </c>
      <c r="AZ93" s="306">
        <f t="shared" si="248"/>
        <v>0</v>
      </c>
      <c r="BA93" s="306">
        <f t="shared" si="248"/>
        <v>0</v>
      </c>
      <c r="BB93" s="306">
        <f t="shared" si="248"/>
        <v>0</v>
      </c>
      <c r="BC93" s="306">
        <f t="shared" si="248"/>
        <v>0</v>
      </c>
      <c r="BD93" s="589"/>
      <c r="BE93" s="84">
        <f t="shared" ref="BE93:BH93" si="249">BE46*BE$50</f>
        <v>0</v>
      </c>
      <c r="BF93" s="84">
        <f t="shared" si="249"/>
        <v>0</v>
      </c>
      <c r="BG93" s="84">
        <f t="shared" si="249"/>
        <v>0</v>
      </c>
      <c r="BH93" s="84">
        <f t="shared" si="249"/>
        <v>0</v>
      </c>
      <c r="BI93" s="589"/>
      <c r="BJ93" s="84">
        <f t="shared" ref="BJ93:BW93" si="250">BJ46*BJ$50/60</f>
        <v>4700000</v>
      </c>
      <c r="BK93" s="84">
        <f t="shared" si="250"/>
        <v>0</v>
      </c>
      <c r="BL93" s="84">
        <f t="shared" si="250"/>
        <v>0</v>
      </c>
      <c r="BM93" s="84">
        <f t="shared" si="250"/>
        <v>0</v>
      </c>
      <c r="BN93" s="84">
        <f t="shared" si="250"/>
        <v>0</v>
      </c>
      <c r="BO93" s="84">
        <f t="shared" si="250"/>
        <v>0</v>
      </c>
      <c r="BP93" s="84">
        <f t="shared" si="250"/>
        <v>0</v>
      </c>
      <c r="BQ93" s="84">
        <f t="shared" si="250"/>
        <v>0</v>
      </c>
      <c r="BR93" s="84">
        <f t="shared" si="250"/>
        <v>0</v>
      </c>
      <c r="BS93" s="84">
        <f t="shared" si="250"/>
        <v>0</v>
      </c>
      <c r="BT93" s="84">
        <f t="shared" si="250"/>
        <v>0</v>
      </c>
      <c r="BU93" s="84">
        <f t="shared" si="250"/>
        <v>0</v>
      </c>
      <c r="BV93" s="84">
        <f t="shared" si="250"/>
        <v>0</v>
      </c>
      <c r="BW93" s="84">
        <f t="shared" si="250"/>
        <v>0</v>
      </c>
      <c r="BX93" s="595"/>
      <c r="BY93" s="100">
        <f t="shared" si="17"/>
        <v>4700000</v>
      </c>
    </row>
    <row r="94" spans="1:84" x14ac:dyDescent="0.25">
      <c r="A94" s="418">
        <f>A47</f>
        <v>42</v>
      </c>
      <c r="B94" s="96" t="str">
        <f t="shared" ref="B94:C94" si="251">B47</f>
        <v>NV44</v>
      </c>
      <c r="C94" s="96" t="str">
        <f t="shared" si="251"/>
        <v>Kim Em</v>
      </c>
      <c r="D94" s="96" t="str">
        <f>D47</f>
        <v xml:space="preserve">Công nhân </v>
      </c>
      <c r="E94" s="84">
        <f t="shared" ref="E94:T94" si="252">E47*E$50</f>
        <v>0</v>
      </c>
      <c r="F94" s="84">
        <f t="shared" si="252"/>
        <v>0</v>
      </c>
      <c r="G94" s="84">
        <f t="shared" si="252"/>
        <v>0</v>
      </c>
      <c r="H94" s="84">
        <f t="shared" si="252"/>
        <v>0</v>
      </c>
      <c r="I94" s="84">
        <f t="shared" si="252"/>
        <v>0</v>
      </c>
      <c r="J94" s="84">
        <f t="shared" si="252"/>
        <v>0</v>
      </c>
      <c r="K94" s="84">
        <f t="shared" si="252"/>
        <v>0</v>
      </c>
      <c r="L94" s="84">
        <f t="shared" si="252"/>
        <v>0</v>
      </c>
      <c r="M94" s="84">
        <f t="shared" si="252"/>
        <v>0</v>
      </c>
      <c r="N94" s="84">
        <f t="shared" si="252"/>
        <v>0</v>
      </c>
      <c r="O94" s="84">
        <f t="shared" si="252"/>
        <v>0</v>
      </c>
      <c r="P94" s="84">
        <f t="shared" si="252"/>
        <v>0</v>
      </c>
      <c r="Q94" s="84">
        <f t="shared" si="252"/>
        <v>0</v>
      </c>
      <c r="R94" s="84">
        <f t="shared" si="252"/>
        <v>0</v>
      </c>
      <c r="S94" s="84">
        <f t="shared" si="252"/>
        <v>0</v>
      </c>
      <c r="T94" s="84">
        <f t="shared" si="252"/>
        <v>0</v>
      </c>
      <c r="U94" s="589"/>
      <c r="V94" s="84">
        <f t="shared" ref="V94:AJ94" si="253">V47*V$50</f>
        <v>0</v>
      </c>
      <c r="W94" s="84">
        <f t="shared" si="253"/>
        <v>0</v>
      </c>
      <c r="X94" s="84">
        <f t="shared" si="253"/>
        <v>0</v>
      </c>
      <c r="Y94" s="84">
        <f t="shared" si="253"/>
        <v>0</v>
      </c>
      <c r="Z94" s="84">
        <f t="shared" si="253"/>
        <v>0</v>
      </c>
      <c r="AA94" s="84">
        <f t="shared" si="253"/>
        <v>0</v>
      </c>
      <c r="AB94" s="84">
        <f t="shared" si="253"/>
        <v>0</v>
      </c>
      <c r="AC94" s="84">
        <f t="shared" si="253"/>
        <v>0</v>
      </c>
      <c r="AD94" s="84">
        <f t="shared" si="253"/>
        <v>0</v>
      </c>
      <c r="AE94" s="84">
        <f t="shared" si="253"/>
        <v>0</v>
      </c>
      <c r="AF94" s="84">
        <f t="shared" si="253"/>
        <v>0</v>
      </c>
      <c r="AG94" s="84">
        <f t="shared" si="253"/>
        <v>0</v>
      </c>
      <c r="AH94" s="84">
        <f t="shared" si="253"/>
        <v>0</v>
      </c>
      <c r="AI94" s="84">
        <f t="shared" si="253"/>
        <v>0</v>
      </c>
      <c r="AJ94" s="84">
        <f t="shared" si="253"/>
        <v>0</v>
      </c>
      <c r="AK94" s="589"/>
      <c r="AL94" s="84">
        <f t="shared" ref="AL94:AO94" si="254">AL47*AL$50</f>
        <v>0</v>
      </c>
      <c r="AM94" s="84">
        <f t="shared" si="254"/>
        <v>0</v>
      </c>
      <c r="AN94" s="84">
        <f t="shared" si="254"/>
        <v>0</v>
      </c>
      <c r="AO94" s="84">
        <f t="shared" si="254"/>
        <v>0</v>
      </c>
      <c r="AP94" s="593"/>
      <c r="AQ94" s="332">
        <f t="shared" ref="AQ94:BC94" si="255">AQ47*AQ$50</f>
        <v>0</v>
      </c>
      <c r="AR94" s="332">
        <f t="shared" si="255"/>
        <v>0</v>
      </c>
      <c r="AS94" s="332">
        <f t="shared" si="255"/>
        <v>0</v>
      </c>
      <c r="AT94" s="332">
        <f t="shared" si="255"/>
        <v>0</v>
      </c>
      <c r="AU94" s="332">
        <f t="shared" si="255"/>
        <v>0</v>
      </c>
      <c r="AV94" s="332">
        <f t="shared" si="255"/>
        <v>0</v>
      </c>
      <c r="AW94" s="306">
        <f t="shared" si="255"/>
        <v>0</v>
      </c>
      <c r="AX94" s="306">
        <f t="shared" si="255"/>
        <v>0</v>
      </c>
      <c r="AY94" s="306">
        <f t="shared" si="255"/>
        <v>0</v>
      </c>
      <c r="AZ94" s="306">
        <f t="shared" si="255"/>
        <v>0</v>
      </c>
      <c r="BA94" s="306">
        <f t="shared" si="255"/>
        <v>0</v>
      </c>
      <c r="BB94" s="306">
        <f t="shared" si="255"/>
        <v>0</v>
      </c>
      <c r="BC94" s="306">
        <f t="shared" si="255"/>
        <v>0</v>
      </c>
      <c r="BD94" s="589"/>
      <c r="BE94" s="84">
        <f t="shared" ref="BE94:BH94" si="256">BE47*BE$50</f>
        <v>0</v>
      </c>
      <c r="BF94" s="84">
        <f t="shared" si="256"/>
        <v>0</v>
      </c>
      <c r="BG94" s="84">
        <f t="shared" si="256"/>
        <v>0</v>
      </c>
      <c r="BH94" s="84">
        <f t="shared" si="256"/>
        <v>0</v>
      </c>
      <c r="BI94" s="589"/>
      <c r="BJ94" s="84">
        <f t="shared" ref="BJ94:BW94" si="257">BJ47*BJ$50/60</f>
        <v>5332692.307692308</v>
      </c>
      <c r="BK94" s="84">
        <f t="shared" si="257"/>
        <v>0</v>
      </c>
      <c r="BL94" s="84">
        <f t="shared" si="257"/>
        <v>0</v>
      </c>
      <c r="BM94" s="84">
        <f t="shared" si="257"/>
        <v>0</v>
      </c>
      <c r="BN94" s="84">
        <f t="shared" si="257"/>
        <v>0</v>
      </c>
      <c r="BO94" s="84">
        <f t="shared" si="257"/>
        <v>0</v>
      </c>
      <c r="BP94" s="84">
        <f t="shared" si="257"/>
        <v>0</v>
      </c>
      <c r="BQ94" s="84">
        <f t="shared" si="257"/>
        <v>0</v>
      </c>
      <c r="BR94" s="84">
        <f t="shared" si="257"/>
        <v>0</v>
      </c>
      <c r="BS94" s="84">
        <f t="shared" si="257"/>
        <v>0</v>
      </c>
      <c r="BT94" s="84">
        <f t="shared" si="257"/>
        <v>0</v>
      </c>
      <c r="BU94" s="84">
        <f t="shared" si="257"/>
        <v>0</v>
      </c>
      <c r="BV94" s="84">
        <f t="shared" si="257"/>
        <v>0</v>
      </c>
      <c r="BW94" s="84">
        <f t="shared" si="257"/>
        <v>0</v>
      </c>
      <c r="BX94" s="595"/>
      <c r="BY94" s="100">
        <f t="shared" si="17"/>
        <v>5332692.307692308</v>
      </c>
    </row>
    <row r="95" spans="1:84" x14ac:dyDescent="0.25">
      <c r="B95" s="96" t="str">
        <f t="shared" ref="B95:C95" si="258">B48</f>
        <v>NV48</v>
      </c>
      <c r="C95" s="96" t="str">
        <f t="shared" si="258"/>
        <v>Danh Ngòi</v>
      </c>
      <c r="D95" s="96" t="str">
        <f>D48</f>
        <v>Công nhân</v>
      </c>
      <c r="E95" s="84">
        <f t="shared" ref="E95:T95" si="259">E48*E$50</f>
        <v>0</v>
      </c>
      <c r="F95" s="84">
        <f t="shared" si="259"/>
        <v>0</v>
      </c>
      <c r="G95" s="84">
        <f t="shared" si="259"/>
        <v>0</v>
      </c>
      <c r="H95" s="84">
        <f t="shared" si="259"/>
        <v>0</v>
      </c>
      <c r="I95" s="84">
        <f t="shared" si="259"/>
        <v>0</v>
      </c>
      <c r="J95" s="84">
        <f t="shared" si="259"/>
        <v>0</v>
      </c>
      <c r="K95" s="84">
        <f t="shared" si="259"/>
        <v>0</v>
      </c>
      <c r="L95" s="84">
        <f t="shared" si="259"/>
        <v>0</v>
      </c>
      <c r="M95" s="84">
        <f t="shared" si="259"/>
        <v>0</v>
      </c>
      <c r="N95" s="84">
        <f t="shared" si="259"/>
        <v>0</v>
      </c>
      <c r="O95" s="84">
        <f t="shared" si="259"/>
        <v>0</v>
      </c>
      <c r="P95" s="84">
        <f t="shared" si="259"/>
        <v>0</v>
      </c>
      <c r="Q95" s="84">
        <f t="shared" si="259"/>
        <v>0</v>
      </c>
      <c r="R95" s="84">
        <f t="shared" si="259"/>
        <v>0</v>
      </c>
      <c r="S95" s="84">
        <f t="shared" si="259"/>
        <v>0</v>
      </c>
      <c r="T95" s="84">
        <f t="shared" si="259"/>
        <v>0</v>
      </c>
      <c r="U95" s="589"/>
      <c r="V95" s="84">
        <f t="shared" ref="V95:AJ95" si="260">V48*V$50</f>
        <v>0</v>
      </c>
      <c r="W95" s="84">
        <f t="shared" si="260"/>
        <v>0</v>
      </c>
      <c r="X95" s="84">
        <f t="shared" si="260"/>
        <v>0</v>
      </c>
      <c r="Y95" s="84">
        <f t="shared" si="260"/>
        <v>0</v>
      </c>
      <c r="Z95" s="84">
        <f t="shared" si="260"/>
        <v>0</v>
      </c>
      <c r="AA95" s="84">
        <f t="shared" si="260"/>
        <v>0</v>
      </c>
      <c r="AB95" s="84">
        <f t="shared" si="260"/>
        <v>0</v>
      </c>
      <c r="AC95" s="84">
        <f t="shared" si="260"/>
        <v>0</v>
      </c>
      <c r="AD95" s="84">
        <f t="shared" si="260"/>
        <v>0</v>
      </c>
      <c r="AE95" s="84">
        <f t="shared" si="260"/>
        <v>0</v>
      </c>
      <c r="AF95" s="84">
        <f t="shared" si="260"/>
        <v>0</v>
      </c>
      <c r="AG95" s="84">
        <f t="shared" si="260"/>
        <v>0</v>
      </c>
      <c r="AH95" s="84">
        <f t="shared" si="260"/>
        <v>0</v>
      </c>
      <c r="AI95" s="84">
        <f t="shared" si="260"/>
        <v>0</v>
      </c>
      <c r="AJ95" s="84">
        <f t="shared" si="260"/>
        <v>0</v>
      </c>
      <c r="AK95" s="589"/>
      <c r="AL95" s="84">
        <f t="shared" ref="AL95:AO95" si="261">AL48*AL$50</f>
        <v>0</v>
      </c>
      <c r="AM95" s="84">
        <f t="shared" si="261"/>
        <v>0</v>
      </c>
      <c r="AN95" s="84">
        <f t="shared" si="261"/>
        <v>0</v>
      </c>
      <c r="AO95" s="84">
        <f t="shared" si="261"/>
        <v>0</v>
      </c>
      <c r="AP95" s="593"/>
      <c r="AQ95" s="332">
        <f t="shared" ref="AQ95:BC95" si="262">AQ48*AQ$50</f>
        <v>0</v>
      </c>
      <c r="AR95" s="332">
        <f t="shared" si="262"/>
        <v>0</v>
      </c>
      <c r="AS95" s="332">
        <f t="shared" si="262"/>
        <v>0</v>
      </c>
      <c r="AT95" s="332">
        <f t="shared" si="262"/>
        <v>0</v>
      </c>
      <c r="AU95" s="332">
        <f t="shared" si="262"/>
        <v>0</v>
      </c>
      <c r="AV95" s="332">
        <f t="shared" si="262"/>
        <v>0</v>
      </c>
      <c r="AW95" s="306">
        <f t="shared" si="262"/>
        <v>0</v>
      </c>
      <c r="AX95" s="306">
        <f t="shared" si="262"/>
        <v>0</v>
      </c>
      <c r="AY95" s="306">
        <f t="shared" si="262"/>
        <v>0</v>
      </c>
      <c r="AZ95" s="306">
        <f t="shared" si="262"/>
        <v>0</v>
      </c>
      <c r="BA95" s="306">
        <f t="shared" si="262"/>
        <v>0</v>
      </c>
      <c r="BB95" s="306">
        <f t="shared" si="262"/>
        <v>0</v>
      </c>
      <c r="BC95" s="306">
        <f t="shared" si="262"/>
        <v>0</v>
      </c>
      <c r="BD95" s="589"/>
      <c r="BE95" s="84">
        <f t="shared" ref="BE95:BH95" si="263">BE48*BE$50</f>
        <v>0</v>
      </c>
      <c r="BF95" s="84">
        <f t="shared" si="263"/>
        <v>0</v>
      </c>
      <c r="BG95" s="84">
        <f t="shared" si="263"/>
        <v>0</v>
      </c>
      <c r="BH95" s="84">
        <f t="shared" si="263"/>
        <v>0</v>
      </c>
      <c r="BI95" s="589"/>
      <c r="BJ95" s="84">
        <f t="shared" ref="BJ95:BW95" si="264">BJ48*BJ$50/60</f>
        <v>5423076.9230769239</v>
      </c>
      <c r="BK95" s="84">
        <f t="shared" si="264"/>
        <v>0</v>
      </c>
      <c r="BL95" s="84">
        <f t="shared" si="264"/>
        <v>0</v>
      </c>
      <c r="BM95" s="84">
        <f t="shared" si="264"/>
        <v>0</v>
      </c>
      <c r="BN95" s="84">
        <f t="shared" si="264"/>
        <v>0</v>
      </c>
      <c r="BO95" s="84">
        <f t="shared" si="264"/>
        <v>0</v>
      </c>
      <c r="BP95" s="84">
        <f t="shared" si="264"/>
        <v>0</v>
      </c>
      <c r="BQ95" s="84">
        <f t="shared" si="264"/>
        <v>0</v>
      </c>
      <c r="BR95" s="84">
        <f t="shared" si="264"/>
        <v>0</v>
      </c>
      <c r="BS95" s="84">
        <f t="shared" si="264"/>
        <v>0</v>
      </c>
      <c r="BT95" s="84">
        <f t="shared" si="264"/>
        <v>0</v>
      </c>
      <c r="BU95" s="84">
        <f t="shared" si="264"/>
        <v>0</v>
      </c>
      <c r="BV95" s="84">
        <f t="shared" si="264"/>
        <v>0</v>
      </c>
      <c r="BW95" s="84">
        <f t="shared" si="264"/>
        <v>0</v>
      </c>
      <c r="BX95" s="595"/>
      <c r="BY95" s="100">
        <f t="shared" si="17"/>
        <v>5423076.9230769239</v>
      </c>
    </row>
    <row r="96" spans="1:84" x14ac:dyDescent="0.25">
      <c r="B96" s="96" t="str">
        <f t="shared" ref="B96:C96" si="265">B49</f>
        <v>NV50</v>
      </c>
      <c r="C96" s="96" t="str">
        <f t="shared" si="265"/>
        <v>Phùng Nhật Nam</v>
      </c>
      <c r="D96" s="892"/>
      <c r="E96" s="84">
        <f t="shared" ref="E96:T96" si="266">E49*E$50</f>
        <v>0</v>
      </c>
      <c r="F96" s="84">
        <f t="shared" si="266"/>
        <v>0</v>
      </c>
      <c r="G96" s="84">
        <f t="shared" si="266"/>
        <v>0</v>
      </c>
      <c r="H96" s="84">
        <f t="shared" si="266"/>
        <v>0</v>
      </c>
      <c r="I96" s="84">
        <f t="shared" si="266"/>
        <v>0</v>
      </c>
      <c r="J96" s="84">
        <f t="shared" si="266"/>
        <v>0</v>
      </c>
      <c r="K96" s="84">
        <f t="shared" si="266"/>
        <v>0</v>
      </c>
      <c r="L96" s="84">
        <f t="shared" si="266"/>
        <v>0</v>
      </c>
      <c r="M96" s="84">
        <f t="shared" si="266"/>
        <v>0</v>
      </c>
      <c r="N96" s="84">
        <f t="shared" si="266"/>
        <v>0</v>
      </c>
      <c r="O96" s="84">
        <f t="shared" si="266"/>
        <v>0</v>
      </c>
      <c r="P96" s="84">
        <f t="shared" si="266"/>
        <v>0</v>
      </c>
      <c r="Q96" s="84">
        <f t="shared" si="266"/>
        <v>0</v>
      </c>
      <c r="R96" s="84">
        <f t="shared" si="266"/>
        <v>0</v>
      </c>
      <c r="S96" s="84">
        <f t="shared" si="266"/>
        <v>0</v>
      </c>
      <c r="T96" s="84">
        <f t="shared" si="266"/>
        <v>0</v>
      </c>
      <c r="U96" s="893"/>
      <c r="V96" s="84">
        <f t="shared" ref="V96:AJ96" si="267">V49*V$50</f>
        <v>0</v>
      </c>
      <c r="W96" s="84">
        <f t="shared" si="267"/>
        <v>0</v>
      </c>
      <c r="X96" s="84">
        <f t="shared" si="267"/>
        <v>0</v>
      </c>
      <c r="Y96" s="84">
        <f t="shared" si="267"/>
        <v>0</v>
      </c>
      <c r="Z96" s="84">
        <f t="shared" si="267"/>
        <v>0</v>
      </c>
      <c r="AA96" s="84">
        <f t="shared" si="267"/>
        <v>0</v>
      </c>
      <c r="AB96" s="84">
        <f t="shared" si="267"/>
        <v>0</v>
      </c>
      <c r="AC96" s="84">
        <f t="shared" si="267"/>
        <v>0</v>
      </c>
      <c r="AD96" s="84">
        <f t="shared" si="267"/>
        <v>0</v>
      </c>
      <c r="AE96" s="84">
        <f t="shared" si="267"/>
        <v>0</v>
      </c>
      <c r="AF96" s="84">
        <f t="shared" si="267"/>
        <v>0</v>
      </c>
      <c r="AG96" s="84">
        <f t="shared" si="267"/>
        <v>0</v>
      </c>
      <c r="AH96" s="84">
        <f t="shared" si="267"/>
        <v>0</v>
      </c>
      <c r="AI96" s="84">
        <f t="shared" si="267"/>
        <v>0</v>
      </c>
      <c r="AJ96" s="84">
        <f t="shared" si="267"/>
        <v>0</v>
      </c>
      <c r="AK96" s="893"/>
      <c r="AL96" s="84">
        <f t="shared" ref="AL96:AO96" si="268">AL49*AL$50</f>
        <v>3362901.923076923</v>
      </c>
      <c r="AM96" s="84">
        <f t="shared" si="268"/>
        <v>768721.15384615387</v>
      </c>
      <c r="AN96" s="84">
        <f t="shared" si="268"/>
        <v>0</v>
      </c>
      <c r="AO96" s="84">
        <f t="shared" si="268"/>
        <v>0</v>
      </c>
      <c r="AP96" s="893"/>
      <c r="AQ96" s="332">
        <f t="shared" ref="AQ96:BC96" si="269">AQ49*AQ$50</f>
        <v>0</v>
      </c>
      <c r="AR96" s="332">
        <f t="shared" si="269"/>
        <v>0</v>
      </c>
      <c r="AS96" s="332">
        <f t="shared" si="269"/>
        <v>0</v>
      </c>
      <c r="AT96" s="332">
        <f t="shared" si="269"/>
        <v>0</v>
      </c>
      <c r="AU96" s="332">
        <f t="shared" si="269"/>
        <v>0</v>
      </c>
      <c r="AV96" s="332">
        <f t="shared" si="269"/>
        <v>0</v>
      </c>
      <c r="AW96" s="306">
        <f t="shared" si="269"/>
        <v>0</v>
      </c>
      <c r="AX96" s="306">
        <f t="shared" si="269"/>
        <v>0</v>
      </c>
      <c r="AY96" s="306">
        <f t="shared" si="269"/>
        <v>0</v>
      </c>
      <c r="AZ96" s="306">
        <f t="shared" si="269"/>
        <v>0</v>
      </c>
      <c r="BA96" s="306">
        <f t="shared" si="269"/>
        <v>0</v>
      </c>
      <c r="BB96" s="306">
        <f t="shared" si="269"/>
        <v>0</v>
      </c>
      <c r="BC96" s="306">
        <f t="shared" si="269"/>
        <v>0</v>
      </c>
      <c r="BD96" s="893"/>
      <c r="BE96" s="84">
        <f t="shared" ref="BE96:BH96" si="270">BE49*BE$50</f>
        <v>0</v>
      </c>
      <c r="BF96" s="84">
        <f t="shared" si="270"/>
        <v>0</v>
      </c>
      <c r="BG96" s="84">
        <f t="shared" si="270"/>
        <v>0</v>
      </c>
      <c r="BH96" s="84">
        <f t="shared" si="270"/>
        <v>0</v>
      </c>
      <c r="BI96" s="893"/>
      <c r="BJ96" s="84">
        <f t="shared" ref="BJ96:BV96" si="271">BJ49*BJ$50/60</f>
        <v>1898076.9230769232</v>
      </c>
      <c r="BK96" s="84">
        <f t="shared" si="271"/>
        <v>0</v>
      </c>
      <c r="BL96" s="84">
        <f t="shared" si="271"/>
        <v>0</v>
      </c>
      <c r="BM96" s="84">
        <f t="shared" si="271"/>
        <v>0</v>
      </c>
      <c r="BN96" s="84">
        <f t="shared" si="271"/>
        <v>0</v>
      </c>
      <c r="BO96" s="84">
        <f t="shared" si="271"/>
        <v>0</v>
      </c>
      <c r="BP96" s="84">
        <f t="shared" si="271"/>
        <v>0</v>
      </c>
      <c r="BQ96" s="84">
        <f t="shared" si="271"/>
        <v>0</v>
      </c>
      <c r="BR96" s="84">
        <f t="shared" si="271"/>
        <v>0</v>
      </c>
      <c r="BS96" s="84">
        <f t="shared" si="271"/>
        <v>0</v>
      </c>
      <c r="BT96" s="84">
        <f t="shared" si="271"/>
        <v>0</v>
      </c>
      <c r="BU96" s="84">
        <f t="shared" si="271"/>
        <v>0</v>
      </c>
      <c r="BV96" s="84">
        <f t="shared" si="271"/>
        <v>0</v>
      </c>
      <c r="BW96" s="84">
        <f>BW49*BW$50/60</f>
        <v>0</v>
      </c>
      <c r="BX96" s="894"/>
      <c r="BY96" s="100">
        <f t="shared" si="17"/>
        <v>6029700</v>
      </c>
    </row>
    <row r="97" spans="4:41" x14ac:dyDescent="0.25">
      <c r="D97" s="85">
        <v>4</v>
      </c>
      <c r="E97">
        <v>4</v>
      </c>
      <c r="F97" s="812">
        <f>SUM(D97:E97)*1.5*'BANG LUONG 1'!$L$8/26/8</f>
        <v>243064.90384615384</v>
      </c>
      <c r="G97" s="790">
        <f t="shared" ref="G97:G101" si="272">+F97+AO97</f>
        <v>243064.90384615384</v>
      </c>
      <c r="AO97" s="76"/>
    </row>
    <row r="98" spans="4:41" x14ac:dyDescent="0.25">
      <c r="D98" s="85">
        <v>4</v>
      </c>
      <c r="F98" s="812">
        <f>SUM(D98:E98)*1.5*'BANG LUONG 1'!$L$8/26/8</f>
        <v>121532.45192307692</v>
      </c>
      <c r="G98" s="790">
        <f t="shared" si="272"/>
        <v>121532.45192307692</v>
      </c>
      <c r="AL98" s="74">
        <f>+AL96+AM96+AO96</f>
        <v>4131623.076923077</v>
      </c>
    </row>
    <row r="99" spans="4:41" x14ac:dyDescent="0.25">
      <c r="D99" s="85">
        <v>4</v>
      </c>
      <c r="E99">
        <v>4</v>
      </c>
      <c r="F99" s="812">
        <f>SUM(D99:E99)*1.5*'BANG LUONG 1'!$L$8/26/8</f>
        <v>243064.90384615384</v>
      </c>
      <c r="G99" s="790">
        <f t="shared" si="272"/>
        <v>243064.90384615384</v>
      </c>
      <c r="AO99" s="76"/>
    </row>
    <row r="100" spans="4:41" x14ac:dyDescent="0.25">
      <c r="D100" s="85">
        <v>4</v>
      </c>
      <c r="F100" s="812">
        <f>SUM(D100:E100)*1.5*'BANG LUONG 1'!$L$8/26/8</f>
        <v>121532.45192307692</v>
      </c>
      <c r="G100" s="790">
        <f t="shared" si="272"/>
        <v>121532.45192307692</v>
      </c>
      <c r="AO100" s="76"/>
    </row>
    <row r="101" spans="4:41" x14ac:dyDescent="0.25">
      <c r="D101" s="85">
        <v>4</v>
      </c>
      <c r="F101" s="812">
        <f>SUM(D101:E101)*1.5*'BANG LUONG 1'!$L$8/26/8</f>
        <v>121532.45192307692</v>
      </c>
      <c r="G101" s="790">
        <f t="shared" si="272"/>
        <v>121532.45192307692</v>
      </c>
    </row>
  </sheetData>
  <mergeCells count="8">
    <mergeCell ref="BJ3:BW3"/>
    <mergeCell ref="E52:T52"/>
    <mergeCell ref="E5:T5"/>
    <mergeCell ref="E3:T3"/>
    <mergeCell ref="V3:AJ3"/>
    <mergeCell ref="BE3:BH3"/>
    <mergeCell ref="AQ3:BC3"/>
    <mergeCell ref="AL3:AO3"/>
  </mergeCells>
  <pageMargins left="0" right="0" top="0" bottom="0" header="0.3" footer="0"/>
  <pageSetup paperSize="9"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BX50"/>
  <sheetViews>
    <sheetView tabSelected="1" zoomScaleNormal="100" workbookViewId="0">
      <pane xSplit="4" ySplit="5" topLeftCell="AN18" activePane="bottomRight" state="frozen"/>
      <selection activeCell="R40" sqref="R40"/>
      <selection pane="topRight" activeCell="R40" sqref="R40"/>
      <selection pane="bottomLeft" activeCell="R40" sqref="R40"/>
      <selection pane="bottomRight" activeCell="AT37" sqref="AT37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10.28515625" customWidth="1"/>
    <col min="40" max="40" width="8.28515625" customWidth="1"/>
    <col min="41" max="41" width="12.85546875" style="74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57" width="6.42578125" customWidth="1"/>
    <col min="58" max="58" width="6" customWidth="1"/>
    <col min="59" max="60" width="6.42578125" customWidth="1"/>
    <col min="61" max="61" width="4" customWidth="1"/>
    <col min="62" max="62" width="6.42578125" customWidth="1"/>
    <col min="63" max="63" width="9.42578125" customWidth="1"/>
    <col min="64" max="69" width="6.42578125" customWidth="1"/>
    <col min="70" max="70" width="8.42578125" style="694" bestFit="1" customWidth="1"/>
    <col min="71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  <c r="AR2" s="334" t="s">
        <v>918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5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40.5" customHeight="1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75" t="str">
        <f>'Công tổng'!AO4</f>
        <v>Xử lý bùn Duy tu</v>
      </c>
      <c r="AP4" s="52"/>
      <c r="AQ4" s="964" t="str">
        <f>'Công tổng'!AQ4</f>
        <v>Lái xe xúc</v>
      </c>
      <c r="AR4" s="964" t="str">
        <f>'Công tổng'!AR4</f>
        <v>Lái xe múc (Xe Kobel)</v>
      </c>
      <c r="AS4" s="964" t="str">
        <f>'Công tổng'!AS4</f>
        <v>Lái xe ủi</v>
      </c>
      <c r="AT4" s="964" t="str">
        <f>'Công tổng'!AT4</f>
        <v>Lái xe Ben</v>
      </c>
      <c r="AU4" s="964" t="str">
        <f>'Công tổng'!AU4</f>
        <v>Lái xe nâng</v>
      </c>
      <c r="AV4" s="964" t="str">
        <f>'Công tổng'!AV4</f>
        <v>Lái xe máy xới</v>
      </c>
      <c r="AW4" s="965" t="str">
        <f>'Công tổng'!AW4</f>
        <v>Lái xe xúc</v>
      </c>
      <c r="AX4" s="965" t="str">
        <f>'Công tổng'!AX4</f>
        <v>Lái xe múc</v>
      </c>
      <c r="AY4" s="965" t="str">
        <f>'Công tổng'!AY4</f>
        <v>Lái xe ủi</v>
      </c>
      <c r="AZ4" s="965" t="str">
        <f>'Công tổng'!AZ4</f>
        <v>Lái xe Ben</v>
      </c>
      <c r="BA4" s="965" t="str">
        <f>'Công tổng'!BA4</f>
        <v>Lái xe nâng</v>
      </c>
      <c r="BB4" s="965" t="str">
        <f>'Công tổng'!BB4</f>
        <v>Lái xe máy xới</v>
      </c>
      <c r="BC4" s="966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695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9"/>
      <c r="AM5" s="395"/>
      <c r="AN5" s="395"/>
      <c r="AO5" s="636"/>
      <c r="AP5" s="52"/>
      <c r="AQ5" s="910"/>
      <c r="AR5" s="910"/>
      <c r="AS5" s="910"/>
      <c r="AT5" s="910"/>
      <c r="AU5" s="910"/>
      <c r="AV5" s="910"/>
      <c r="AW5" s="911"/>
      <c r="AX5" s="911"/>
      <c r="AY5" s="911"/>
      <c r="AZ5" s="911"/>
      <c r="BA5" s="911"/>
      <c r="BB5" s="911"/>
      <c r="BC5" s="912"/>
      <c r="BD5" s="52"/>
      <c r="BE5" s="395"/>
      <c r="BF5" s="395"/>
      <c r="BG5" s="395"/>
      <c r="BH5" s="395"/>
      <c r="BI5" s="52"/>
      <c r="BJ5" s="395"/>
      <c r="BK5" s="395"/>
      <c r="BL5" s="395"/>
      <c r="BM5" s="395"/>
      <c r="BN5" s="395"/>
      <c r="BO5" s="395"/>
      <c r="BP5" s="395"/>
      <c r="BQ5" s="395"/>
      <c r="BR5" s="913"/>
      <c r="BS5" s="395"/>
      <c r="BT5" s="395"/>
      <c r="BU5" s="395"/>
      <c r="BV5" s="395"/>
      <c r="BW5" s="395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47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45"/>
      <c r="AL6" s="419"/>
      <c r="AM6" s="419"/>
      <c r="AN6" s="419"/>
      <c r="AO6" s="76"/>
      <c r="AP6" s="914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914"/>
      <c r="BE6" s="418"/>
      <c r="BF6" s="418"/>
      <c r="BG6" s="418"/>
      <c r="BH6" s="418"/>
      <c r="BI6" s="914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909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47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45"/>
      <c r="AL7" s="419">
        <v>24350</v>
      </c>
      <c r="AM7" s="891"/>
      <c r="AN7" s="419"/>
      <c r="AO7" s="76"/>
      <c r="AP7" s="914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914"/>
      <c r="BE7" s="418"/>
      <c r="BF7" s="418"/>
      <c r="BG7" s="418"/>
      <c r="BH7" s="418"/>
      <c r="BI7" s="914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909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45"/>
      <c r="AL8" s="419"/>
      <c r="AM8" s="891"/>
      <c r="AN8" s="419"/>
      <c r="AO8" s="76"/>
      <c r="AP8" s="914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914"/>
      <c r="BE8" s="418"/>
      <c r="BF8" s="418"/>
      <c r="BG8" s="418"/>
      <c r="BH8" s="418"/>
      <c r="BI8" s="914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909"/>
    </row>
    <row r="9" spans="1:76" x14ac:dyDescent="0.25">
      <c r="A9" s="418">
        <f>'BANG LUONG 1'!A10</f>
        <v>4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891"/>
      <c r="AN9" s="419"/>
      <c r="AO9" s="76"/>
      <c r="AP9" s="914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914"/>
      <c r="BE9" s="418"/>
      <c r="BF9" s="418"/>
      <c r="BG9" s="418"/>
      <c r="BH9" s="418"/>
      <c r="BI9" s="914"/>
      <c r="BJ9" s="418"/>
      <c r="BK9" s="418"/>
      <c r="BL9" s="418"/>
      <c r="BM9" s="418"/>
      <c r="BN9" s="418"/>
      <c r="BO9" s="915"/>
      <c r="BP9" s="418"/>
      <c r="BQ9" s="418"/>
      <c r="BR9" s="414"/>
      <c r="BS9" s="418"/>
      <c r="BT9" s="418"/>
      <c r="BU9" s="418"/>
      <c r="BV9" s="418"/>
      <c r="BW9" s="418"/>
      <c r="BX9" s="909"/>
    </row>
    <row r="10" spans="1:76" x14ac:dyDescent="0.25">
      <c r="A10" s="418">
        <f>'BANG LUONG 1'!A11</f>
        <v>5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45"/>
      <c r="AL10" s="419">
        <v>23480</v>
      </c>
      <c r="AM10" s="891"/>
      <c r="AN10" s="419"/>
      <c r="AO10" s="76"/>
      <c r="AP10" s="914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914"/>
      <c r="BE10" s="418"/>
      <c r="BF10" s="418"/>
      <c r="BG10" s="418"/>
      <c r="BH10" s="418"/>
      <c r="BI10" s="914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909"/>
    </row>
    <row r="11" spans="1:76" x14ac:dyDescent="0.25">
      <c r="A11" s="418">
        <f>'BANG LUONG 1'!A12</f>
        <v>6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45"/>
      <c r="AL11" s="419">
        <v>24350</v>
      </c>
      <c r="AM11" s="891"/>
      <c r="AN11" s="419"/>
      <c r="AO11" s="76"/>
      <c r="AP11" s="914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914"/>
      <c r="BE11" s="418"/>
      <c r="BF11" s="418"/>
      <c r="BG11" s="418"/>
      <c r="BH11" s="418"/>
      <c r="BI11" s="914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909"/>
    </row>
    <row r="12" spans="1:76" x14ac:dyDescent="0.25">
      <c r="A12" s="418">
        <f>'BANG LUONG 1'!A13</f>
        <v>7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45"/>
      <c r="AL12" s="419">
        <v>10070</v>
      </c>
      <c r="AM12" s="891"/>
      <c r="AN12" s="419"/>
      <c r="AO12" s="76"/>
      <c r="AP12" s="914"/>
      <c r="AQ12" s="330"/>
      <c r="AR12" s="331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914"/>
      <c r="BE12" s="418"/>
      <c r="BF12" s="418"/>
      <c r="BG12" s="418"/>
      <c r="BH12" s="418"/>
      <c r="BI12" s="914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909"/>
    </row>
    <row r="13" spans="1:76" x14ac:dyDescent="0.25">
      <c r="A13" s="418">
        <f>'BANG LUONG 1'!A14</f>
        <v>8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45"/>
      <c r="AL13" s="419">
        <v>24350</v>
      </c>
      <c r="AM13" s="891"/>
      <c r="AN13" s="419"/>
      <c r="AO13" s="76"/>
      <c r="AP13" s="914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914"/>
      <c r="BE13" s="418"/>
      <c r="BF13" s="418"/>
      <c r="BG13" s="418"/>
      <c r="BH13" s="418"/>
      <c r="BI13" s="914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909"/>
    </row>
    <row r="14" spans="1:76" x14ac:dyDescent="0.25">
      <c r="A14" s="418">
        <f>'BANG LUONG 1'!A15</f>
        <v>9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24350</v>
      </c>
      <c r="AM14" s="891"/>
      <c r="AN14" s="419"/>
      <c r="AO14" s="76"/>
      <c r="AP14" s="914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914"/>
      <c r="BE14" s="418"/>
      <c r="BF14" s="418"/>
      <c r="BG14" s="418"/>
      <c r="BH14" s="418"/>
      <c r="BI14" s="914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909"/>
    </row>
    <row r="15" spans="1:76" x14ac:dyDescent="0.25">
      <c r="A15" s="418">
        <f>'BANG LUONG 1'!A16</f>
        <v>10</v>
      </c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891"/>
      <c r="AN15" s="419"/>
      <c r="AO15" s="76"/>
      <c r="AP15" s="914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914"/>
      <c r="BE15" s="418"/>
      <c r="BF15" s="418"/>
      <c r="BG15" s="418"/>
      <c r="BH15" s="418"/>
      <c r="BI15" s="914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909"/>
    </row>
    <row r="16" spans="1:76" x14ac:dyDescent="0.25">
      <c r="A16" s="418" t="str">
        <f>'BANG LUONG 1'!A19</f>
        <v>J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23480</v>
      </c>
      <c r="AM16" s="891"/>
      <c r="AN16" s="419"/>
      <c r="AO16" s="76"/>
      <c r="AP16" s="914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914"/>
      <c r="BE16" s="418"/>
      <c r="BF16" s="418"/>
      <c r="BG16" s="418"/>
      <c r="BH16" s="418"/>
      <c r="BI16" s="914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909"/>
    </row>
    <row r="17" spans="1:76" x14ac:dyDescent="0.25">
      <c r="A17" s="418">
        <f>'BANG LUONG 1'!A20</f>
        <v>13</v>
      </c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45"/>
      <c r="AL17" s="419"/>
      <c r="AM17" s="419"/>
      <c r="AN17" s="419"/>
      <c r="AO17" s="76"/>
      <c r="AP17" s="914"/>
      <c r="AQ17" s="330"/>
      <c r="AR17" s="330"/>
      <c r="AS17" s="330"/>
      <c r="AT17" s="330">
        <v>20.5</v>
      </c>
      <c r="AU17" s="330"/>
      <c r="AV17" s="330"/>
      <c r="AW17" s="319"/>
      <c r="AX17" s="319">
        <v>125.25</v>
      </c>
      <c r="AY17" s="319"/>
      <c r="AZ17" s="319"/>
      <c r="BA17" s="319"/>
      <c r="BB17" s="319"/>
      <c r="BC17" s="324"/>
      <c r="BD17" s="914"/>
      <c r="BE17" s="418"/>
      <c r="BF17" s="418"/>
      <c r="BG17" s="418"/>
      <c r="BH17" s="418"/>
      <c r="BI17" s="914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>
        <f>14*60</f>
        <v>840</v>
      </c>
      <c r="BW17" s="418"/>
      <c r="BX17" s="909"/>
    </row>
    <row r="18" spans="1:76" ht="15.75" x14ac:dyDescent="0.25">
      <c r="A18" s="418">
        <f>'BANG LUONG 1'!A21</f>
        <v>14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45"/>
      <c r="AL18" s="41"/>
      <c r="AM18" s="419"/>
      <c r="AN18" s="419"/>
      <c r="AO18" s="890"/>
      <c r="AP18" s="914"/>
      <c r="AQ18" s="330"/>
      <c r="AR18" s="330"/>
      <c r="AS18" s="330"/>
      <c r="AT18" s="330"/>
      <c r="AU18" s="330"/>
      <c r="AV18" s="330"/>
      <c r="AW18" s="319">
        <v>209.42</v>
      </c>
      <c r="AX18" s="319"/>
      <c r="AY18" s="319"/>
      <c r="AZ18" s="319"/>
      <c r="BA18" s="319"/>
      <c r="BB18" s="319"/>
      <c r="BC18" s="324"/>
      <c r="BD18" s="914"/>
      <c r="BE18" s="418"/>
      <c r="BF18" s="418"/>
      <c r="BG18" s="418"/>
      <c r="BH18" s="418"/>
      <c r="BI18" s="914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909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45"/>
      <c r="AL19" s="419"/>
      <c r="AM19" s="419"/>
      <c r="AN19" s="419"/>
      <c r="AO19" s="76"/>
      <c r="AP19" s="914"/>
      <c r="AQ19" s="330"/>
      <c r="AR19" s="330"/>
      <c r="AS19" s="330"/>
      <c r="AT19" s="330"/>
      <c r="AU19" s="330"/>
      <c r="AV19" s="330"/>
      <c r="AW19" s="319"/>
      <c r="AX19" s="319"/>
      <c r="AY19" s="319">
        <v>162.66999999999999</v>
      </c>
      <c r="AZ19" s="319"/>
      <c r="BA19" s="319"/>
      <c r="BB19" s="319"/>
      <c r="BC19" s="324"/>
      <c r="BD19" s="914"/>
      <c r="BE19" s="418"/>
      <c r="BF19" s="418"/>
      <c r="BG19" s="418"/>
      <c r="BH19" s="418"/>
      <c r="BI19" s="914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909"/>
    </row>
    <row r="20" spans="1:76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45"/>
      <c r="AL20" s="419"/>
      <c r="AM20" s="419"/>
      <c r="AN20" s="419"/>
      <c r="AO20" s="76"/>
      <c r="AP20" s="914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>
        <v>275.92</v>
      </c>
      <c r="BA20" s="319"/>
      <c r="BB20" s="319"/>
      <c r="BC20" s="324"/>
      <c r="BD20" s="914"/>
      <c r="BE20" s="418"/>
      <c r="BF20" s="418"/>
      <c r="BG20" s="418"/>
      <c r="BH20" s="418"/>
      <c r="BI20" s="914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909"/>
    </row>
    <row r="21" spans="1:76" ht="22.5" customHeight="1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914"/>
      <c r="AQ21" s="330"/>
      <c r="AR21" s="330"/>
      <c r="AS21" s="330"/>
      <c r="AT21" s="330"/>
      <c r="AU21" s="330"/>
      <c r="AV21" s="330"/>
      <c r="AW21" s="319"/>
      <c r="AX21" s="319">
        <v>218.83</v>
      </c>
      <c r="AY21" s="319"/>
      <c r="AZ21" s="319"/>
      <c r="BA21" s="319"/>
      <c r="BB21" s="319"/>
      <c r="BC21" s="324"/>
      <c r="BD21" s="914"/>
      <c r="BE21" s="418"/>
      <c r="BF21" s="418"/>
      <c r="BG21" s="418"/>
      <c r="BH21" s="418"/>
      <c r="BI21" s="914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>
        <v>420</v>
      </c>
      <c r="BW21" s="418"/>
      <c r="BX21" s="909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914"/>
      <c r="AQ22" s="330">
        <v>1.6666666666666687</v>
      </c>
      <c r="AR22" s="330"/>
      <c r="AS22" s="330"/>
      <c r="AT22" s="330"/>
      <c r="AU22" s="330"/>
      <c r="AV22" s="330"/>
      <c r="AW22" s="319">
        <v>2.5000000000000004</v>
      </c>
      <c r="AX22" s="319"/>
      <c r="AY22" s="319"/>
      <c r="AZ22" s="319"/>
      <c r="BA22" s="319"/>
      <c r="BB22" s="319"/>
      <c r="BC22" s="324"/>
      <c r="BD22" s="914"/>
      <c r="BE22" s="418"/>
      <c r="BF22" s="418"/>
      <c r="BG22" s="418"/>
      <c r="BH22" s="418"/>
      <c r="BI22" s="914"/>
      <c r="BJ22" s="418"/>
      <c r="BK22" s="418">
        <f>25.55*60</f>
        <v>1533</v>
      </c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>
        <f>24*60</f>
        <v>1440</v>
      </c>
      <c r="BW22" s="418"/>
      <c r="BX22" s="909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914"/>
      <c r="AQ23" s="330"/>
      <c r="AR23" s="330"/>
      <c r="AS23" s="330"/>
      <c r="AT23" s="330"/>
      <c r="AU23" s="330"/>
      <c r="AV23" s="330"/>
      <c r="AW23" s="319"/>
      <c r="AX23" s="319">
        <v>243.25</v>
      </c>
      <c r="AY23" s="319"/>
      <c r="AZ23" s="319"/>
      <c r="BA23" s="319"/>
      <c r="BB23" s="319"/>
      <c r="BC23" s="324"/>
      <c r="BD23" s="914"/>
      <c r="BE23" s="418"/>
      <c r="BF23" s="418"/>
      <c r="BG23" s="418"/>
      <c r="BH23" s="418"/>
      <c r="BI23" s="914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909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914"/>
      <c r="AQ24" s="330"/>
      <c r="AR24" s="330"/>
      <c r="AS24" s="330"/>
      <c r="AT24" s="330"/>
      <c r="AU24" s="330"/>
      <c r="AV24" s="330"/>
      <c r="AW24" s="319"/>
      <c r="AX24" s="319">
        <v>263.67</v>
      </c>
      <c r="AY24" s="319"/>
      <c r="AZ24" s="319"/>
      <c r="BA24" s="319"/>
      <c r="BB24" s="319"/>
      <c r="BC24" s="324"/>
      <c r="BD24" s="914"/>
      <c r="BE24" s="418"/>
      <c r="BF24" s="418"/>
      <c r="BG24" s="418"/>
      <c r="BH24" s="418"/>
      <c r="BI24" s="914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909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914"/>
      <c r="AQ25" s="330"/>
      <c r="AR25" s="330"/>
      <c r="AS25" s="330"/>
      <c r="AT25" s="330"/>
      <c r="AU25" s="330"/>
      <c r="AV25" s="330"/>
      <c r="AW25" s="319"/>
      <c r="AX25" s="319">
        <v>238.08</v>
      </c>
      <c r="AY25" s="319"/>
      <c r="AZ25" s="319"/>
      <c r="BA25" s="319"/>
      <c r="BB25" s="319"/>
      <c r="BC25" s="324"/>
      <c r="BD25" s="914"/>
      <c r="BE25" s="418"/>
      <c r="BF25" s="418"/>
      <c r="BG25" s="418"/>
      <c r="BH25" s="418"/>
      <c r="BI25" s="914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909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914"/>
      <c r="AQ26" s="330"/>
      <c r="AR26" s="330"/>
      <c r="AS26" s="330"/>
      <c r="AT26" s="330"/>
      <c r="AU26" s="330"/>
      <c r="AV26" s="330"/>
      <c r="AW26" s="319">
        <v>309.67</v>
      </c>
      <c r="AX26" s="319"/>
      <c r="AY26" s="319"/>
      <c r="AZ26" s="319"/>
      <c r="BA26" s="319"/>
      <c r="BB26" s="319"/>
      <c r="BC26" s="324"/>
      <c r="BD26" s="914"/>
      <c r="BE26" s="418"/>
      <c r="BF26" s="418"/>
      <c r="BG26" s="418"/>
      <c r="BH26" s="418"/>
      <c r="BI26" s="914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909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914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914"/>
      <c r="BE27" s="418"/>
      <c r="BF27" s="418"/>
      <c r="BG27" s="418"/>
      <c r="BH27" s="418"/>
      <c r="BI27" s="914"/>
      <c r="BJ27" s="418"/>
      <c r="BK27" s="418"/>
      <c r="BL27" s="418"/>
      <c r="BM27" s="418"/>
      <c r="BN27" s="418"/>
      <c r="BO27" s="418"/>
      <c r="BP27" s="418"/>
      <c r="BQ27" s="418"/>
      <c r="BR27" s="916"/>
      <c r="BS27" s="418"/>
      <c r="BT27" s="418"/>
      <c r="BU27" s="418"/>
      <c r="BV27" s="418"/>
      <c r="BW27" s="418"/>
      <c r="BX27" s="909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914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282.08</v>
      </c>
      <c r="BA28" s="319"/>
      <c r="BB28" s="319"/>
      <c r="BC28" s="324"/>
      <c r="BD28" s="914"/>
      <c r="BE28" s="418"/>
      <c r="BF28" s="418"/>
      <c r="BG28" s="418"/>
      <c r="BH28" s="418"/>
      <c r="BI28" s="914"/>
      <c r="BJ28" s="418"/>
      <c r="BK28" s="418"/>
      <c r="BL28" s="418"/>
      <c r="BM28" s="418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909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914"/>
      <c r="AQ29" s="330"/>
      <c r="AR29" s="330"/>
      <c r="AS29" s="330"/>
      <c r="AT29" s="330"/>
      <c r="AU29" s="330"/>
      <c r="AV29" s="330"/>
      <c r="AW29" s="319"/>
      <c r="AX29" s="319"/>
      <c r="AY29" s="319">
        <v>12.83</v>
      </c>
      <c r="AZ29" s="319">
        <v>147.75</v>
      </c>
      <c r="BA29" s="319"/>
      <c r="BB29" s="319"/>
      <c r="BC29" s="324"/>
      <c r="BD29" s="914"/>
      <c r="BE29" s="418"/>
      <c r="BF29" s="418"/>
      <c r="BG29" s="418"/>
      <c r="BH29" s="418"/>
      <c r="BI29" s="914"/>
      <c r="BJ29" s="418"/>
      <c r="BK29" s="418">
        <f>4*60</f>
        <v>240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909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914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>
        <v>105.83</v>
      </c>
      <c r="BA30" s="319"/>
      <c r="BB30" s="319"/>
      <c r="BC30" s="324"/>
      <c r="BD30" s="914"/>
      <c r="BE30" s="418"/>
      <c r="BF30" s="418"/>
      <c r="BG30" s="418"/>
      <c r="BH30" s="418"/>
      <c r="BI30" s="914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909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914"/>
      <c r="AQ31" s="330"/>
      <c r="AR31" s="330"/>
      <c r="AS31" s="330"/>
      <c r="AT31" s="330">
        <v>209.67</v>
      </c>
      <c r="AU31" s="330"/>
      <c r="AV31" s="330"/>
      <c r="AW31" s="319"/>
      <c r="AX31" s="319"/>
      <c r="AY31" s="319"/>
      <c r="AZ31" s="319"/>
      <c r="BA31" s="319"/>
      <c r="BB31" s="319"/>
      <c r="BC31" s="324"/>
      <c r="BD31" s="914"/>
      <c r="BE31" s="418"/>
      <c r="BF31" s="418"/>
      <c r="BG31" s="418"/>
      <c r="BH31" s="418"/>
      <c r="BI31" s="914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909"/>
    </row>
    <row r="32" spans="1:76" ht="17.25" customHeight="1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23480</v>
      </c>
      <c r="AM32" s="891"/>
      <c r="AN32" s="419"/>
      <c r="AO32" s="76"/>
      <c r="AP32" s="914"/>
      <c r="AQ32" s="330"/>
      <c r="AR32" s="330"/>
      <c r="AS32" s="330"/>
      <c r="AT32" s="330"/>
      <c r="AU32" s="330"/>
      <c r="AV32" s="330"/>
      <c r="AX32" s="319"/>
      <c r="AY32" s="319"/>
      <c r="AZ32" s="319"/>
      <c r="BA32" s="319"/>
      <c r="BB32" s="319"/>
      <c r="BC32" s="324"/>
      <c r="BD32" s="914"/>
      <c r="BE32" s="418"/>
      <c r="BF32" s="418"/>
      <c r="BG32" s="418"/>
      <c r="BH32" s="418"/>
      <c r="BI32" s="914"/>
      <c r="BJ32" s="418"/>
      <c r="BK32" s="418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8"/>
      <c r="BW32" s="418"/>
      <c r="BX32" s="909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47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45"/>
      <c r="AL33" s="419"/>
      <c r="AM33" s="891"/>
      <c r="AN33" s="419"/>
      <c r="AO33" s="76"/>
      <c r="AP33" s="914"/>
      <c r="AQ33" s="416"/>
      <c r="AR33" s="416"/>
      <c r="AS33" s="417"/>
      <c r="AT33" s="416"/>
      <c r="AU33" s="417"/>
      <c r="AV33" s="417"/>
      <c r="AW33" s="319"/>
      <c r="AX33" s="873">
        <f>24.33+40.67</f>
        <v>65</v>
      </c>
      <c r="AY33" s="319"/>
      <c r="AZ33" s="319"/>
      <c r="BA33" s="319"/>
      <c r="BB33" s="319"/>
      <c r="BC33" s="324"/>
      <c r="BD33" s="914"/>
      <c r="BE33" s="418"/>
      <c r="BF33" s="418"/>
      <c r="BG33" s="418"/>
      <c r="BH33" s="418"/>
      <c r="BI33" s="914"/>
      <c r="BJ33" s="418"/>
      <c r="BK33" s="418"/>
      <c r="BL33" s="418"/>
      <c r="BM33" s="421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909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47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45"/>
      <c r="AL34" s="419"/>
      <c r="AM34" s="891"/>
      <c r="AN34" s="419"/>
      <c r="AO34" s="76"/>
      <c r="AP34" s="914"/>
      <c r="AQ34" s="416"/>
      <c r="AR34" s="416"/>
      <c r="AS34" s="417"/>
      <c r="AT34" s="416"/>
      <c r="AU34" s="417"/>
      <c r="AV34" s="417"/>
      <c r="AW34" s="319">
        <v>203.5</v>
      </c>
      <c r="AX34" s="319"/>
      <c r="AY34" s="319"/>
      <c r="AZ34" s="319"/>
      <c r="BA34" s="319"/>
      <c r="BB34" s="319"/>
      <c r="BC34" s="324"/>
      <c r="BD34" s="914"/>
      <c r="BE34" s="418"/>
      <c r="BF34" s="418"/>
      <c r="BG34" s="418"/>
      <c r="BH34" s="418"/>
      <c r="BI34" s="914"/>
      <c r="BJ34" s="418"/>
      <c r="BK34" s="414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909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47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45"/>
      <c r="AL35" s="419"/>
      <c r="AM35" s="891"/>
      <c r="AN35" s="419"/>
      <c r="AO35" s="76"/>
      <c r="AP35" s="914"/>
      <c r="AQ35" s="416"/>
      <c r="AR35" s="416"/>
      <c r="AS35" s="417"/>
      <c r="AT35" s="416"/>
      <c r="AU35" s="417"/>
      <c r="AV35" s="417"/>
      <c r="AW35" s="319">
        <v>293.58</v>
      </c>
      <c r="AX35" s="319"/>
      <c r="AY35" s="319"/>
      <c r="AZ35" s="319"/>
      <c r="BA35" s="319"/>
      <c r="BB35" s="319"/>
      <c r="BC35" s="324"/>
      <c r="BD35" s="914"/>
      <c r="BE35" s="418"/>
      <c r="BF35" s="418"/>
      <c r="BG35" s="418"/>
      <c r="BH35" s="418"/>
      <c r="BI35" s="914"/>
      <c r="BJ35" s="418"/>
      <c r="BK35" s="413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909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914"/>
      <c r="AQ36" s="330"/>
      <c r="AR36" s="330"/>
      <c r="AS36" s="330"/>
      <c r="AT36" s="330"/>
      <c r="AU36" s="330">
        <v>118.41666666666667</v>
      </c>
      <c r="AV36" s="330"/>
      <c r="AW36" s="319"/>
      <c r="AX36" s="319"/>
      <c r="AY36" s="319"/>
      <c r="AZ36" s="319"/>
      <c r="BA36" s="319">
        <v>118.41666666666667</v>
      </c>
      <c r="BB36" s="319"/>
      <c r="BC36" s="324"/>
      <c r="BD36" s="914"/>
      <c r="BE36" s="418"/>
      <c r="BF36" s="418"/>
      <c r="BG36" s="418"/>
      <c r="BH36" s="418"/>
      <c r="BI36" s="914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909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914"/>
      <c r="AQ37" s="330"/>
      <c r="AR37" s="330"/>
      <c r="AS37" s="330"/>
      <c r="AT37" s="330">
        <v>163.75</v>
      </c>
      <c r="AU37" s="330"/>
      <c r="AV37" s="330"/>
      <c r="AW37" s="319"/>
      <c r="AX37" s="319"/>
      <c r="AY37" s="319"/>
      <c r="AZ37" s="319"/>
      <c r="BA37" s="319"/>
      <c r="BB37" s="319"/>
      <c r="BC37" s="324"/>
      <c r="BD37" s="914"/>
      <c r="BE37" s="418"/>
      <c r="BF37" s="418"/>
      <c r="BG37" s="418"/>
      <c r="BH37" s="418"/>
      <c r="BI37" s="914"/>
      <c r="BJ37" s="418"/>
      <c r="BK37" s="418"/>
      <c r="BL37" s="418"/>
      <c r="BM37" s="418">
        <v>9825</v>
      </c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909"/>
    </row>
    <row r="38" spans="1:76" x14ac:dyDescent="0.25">
      <c r="A38" s="418" t="str">
        <f>'BANG LUONG 1'!A39</f>
        <v>G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914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914"/>
      <c r="BE38" s="418"/>
      <c r="BF38" s="418"/>
      <c r="BG38" s="418"/>
      <c r="BH38" s="418"/>
      <c r="BI38" s="914"/>
      <c r="BJ38" s="418"/>
      <c r="BK38" s="418"/>
      <c r="BL38" s="418"/>
      <c r="BM38" s="418">
        <v>23130</v>
      </c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909"/>
    </row>
    <row r="39" spans="1:76" x14ac:dyDescent="0.25">
      <c r="A39" s="418">
        <f>'BANG LUONG 1'!A41</f>
        <v>33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914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914"/>
      <c r="BE39" s="418"/>
      <c r="BF39" s="418"/>
      <c r="BG39" s="418"/>
      <c r="BH39" s="418"/>
      <c r="BI39" s="914"/>
      <c r="BJ39" s="418"/>
      <c r="BK39" s="418"/>
      <c r="BL39" s="418"/>
      <c r="BM39" s="418">
        <v>13440</v>
      </c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909"/>
    </row>
    <row r="40" spans="1:76" x14ac:dyDescent="0.25">
      <c r="A40" s="418">
        <f>'BANG LUONG 1'!A42</f>
        <v>34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914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914"/>
      <c r="BE40" s="418"/>
      <c r="BF40" s="418"/>
      <c r="BG40" s="418"/>
      <c r="BH40" s="418"/>
      <c r="BI40" s="914"/>
      <c r="BJ40" s="418"/>
      <c r="BK40" s="418"/>
      <c r="BL40" s="418"/>
      <c r="BM40" s="418">
        <v>13440</v>
      </c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909"/>
    </row>
    <row r="41" spans="1:76" x14ac:dyDescent="0.25">
      <c r="A41" s="418">
        <f>'BANG LUONG 1'!A17</f>
        <v>11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914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914"/>
      <c r="BE41" s="418"/>
      <c r="BF41" s="418"/>
      <c r="BG41" s="418"/>
      <c r="BH41" s="418"/>
      <c r="BI41" s="914"/>
      <c r="BJ41" s="418"/>
      <c r="BK41" s="418"/>
      <c r="BL41" s="418"/>
      <c r="BM41" s="418">
        <v>14400</v>
      </c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909"/>
    </row>
    <row r="42" spans="1:76" x14ac:dyDescent="0.25">
      <c r="A42" s="418">
        <f>'BANG LUONG 1'!A43</f>
        <v>35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914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914"/>
      <c r="BE42" s="418"/>
      <c r="BF42" s="418"/>
      <c r="BG42" s="418"/>
      <c r="BH42" s="418"/>
      <c r="BI42" s="914"/>
      <c r="BJ42" s="418"/>
      <c r="BK42" s="418"/>
      <c r="BL42" s="418"/>
      <c r="BM42" s="418">
        <v>12480</v>
      </c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909"/>
    </row>
    <row r="43" spans="1:76" x14ac:dyDescent="0.25">
      <c r="A43" s="418">
        <f>'BANG LUONG 1'!A44</f>
        <v>36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914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914"/>
      <c r="BE43" s="418"/>
      <c r="BF43" s="418"/>
      <c r="BG43" s="418"/>
      <c r="BH43" s="418"/>
      <c r="BI43" s="914"/>
      <c r="BJ43" s="418"/>
      <c r="BK43" s="418"/>
      <c r="BL43" s="418"/>
      <c r="BM43" s="418">
        <v>13920</v>
      </c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909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914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914"/>
      <c r="BE44" s="418"/>
      <c r="BF44" s="418"/>
      <c r="BG44" s="418"/>
      <c r="BH44" s="418"/>
      <c r="BI44" s="914"/>
      <c r="BJ44" s="418"/>
      <c r="BK44" s="418"/>
      <c r="BL44" s="418"/>
      <c r="BM44" s="418">
        <v>13920</v>
      </c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909"/>
    </row>
    <row r="45" spans="1:76" x14ac:dyDescent="0.25">
      <c r="A45" s="418">
        <f>'BANG LUONG 1'!A44</f>
        <v>36</v>
      </c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914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914"/>
      <c r="BE45" s="418"/>
      <c r="BF45" s="418"/>
      <c r="BG45" s="418"/>
      <c r="BH45" s="418"/>
      <c r="BI45" s="914"/>
      <c r="BJ45" s="418"/>
      <c r="BK45" s="418"/>
      <c r="BL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909"/>
    </row>
    <row r="46" spans="1:76" x14ac:dyDescent="0.25">
      <c r="A46" s="418">
        <f>'BANG LUONG 1'!A45</f>
        <v>37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914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914"/>
      <c r="BE46" s="418"/>
      <c r="BF46" s="418"/>
      <c r="BG46" s="418"/>
      <c r="BH46" s="418"/>
      <c r="BI46" s="914"/>
      <c r="BJ46" s="418">
        <v>12480</v>
      </c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909"/>
    </row>
    <row r="47" spans="1:76" x14ac:dyDescent="0.25">
      <c r="A47" s="418" t="str">
        <f>'BANG LUONG 1'!A48</f>
        <v>G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914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914"/>
      <c r="BE47" s="418"/>
      <c r="BF47" s="418"/>
      <c r="BG47" s="418"/>
      <c r="BH47" s="418"/>
      <c r="BI47" s="914"/>
      <c r="BJ47" s="418">
        <v>14160</v>
      </c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909"/>
    </row>
    <row r="48" spans="1:76" x14ac:dyDescent="0.25">
      <c r="A48" s="418">
        <f>'BANG LUONG 1'!A49</f>
        <v>40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914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914"/>
      <c r="BE48" s="418"/>
      <c r="BF48" s="418"/>
      <c r="BG48" s="418"/>
      <c r="BH48" s="418"/>
      <c r="BI48" s="914"/>
      <c r="BJ48" s="418">
        <v>14400</v>
      </c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909"/>
    </row>
    <row r="49" spans="1:76" x14ac:dyDescent="0.25">
      <c r="A49" s="895"/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896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897"/>
      <c r="AL49" s="419"/>
      <c r="AM49" s="419"/>
      <c r="AN49" s="419"/>
      <c r="AO49" s="76"/>
      <c r="AP49" s="914"/>
      <c r="AQ49" s="330"/>
      <c r="AR49" s="330"/>
      <c r="AS49" s="330"/>
      <c r="AT49" s="330"/>
      <c r="AU49" s="330"/>
      <c r="AV49" s="330"/>
      <c r="AW49" s="319"/>
      <c r="AX49" s="319"/>
      <c r="AY49" s="319"/>
      <c r="AZ49" s="319"/>
      <c r="BA49" s="319"/>
      <c r="BB49" s="319"/>
      <c r="BC49" s="324"/>
      <c r="BD49" s="914"/>
      <c r="BE49" s="418"/>
      <c r="BF49" s="418"/>
      <c r="BG49" s="418"/>
      <c r="BH49" s="418"/>
      <c r="BI49" s="914"/>
      <c r="BJ49" s="418">
        <v>5040</v>
      </c>
      <c r="BK49" s="418"/>
      <c r="BL49" s="418"/>
      <c r="BM49" s="418"/>
      <c r="BN49" s="418"/>
      <c r="BO49" s="418"/>
      <c r="BP49" s="418"/>
      <c r="BQ49" s="418"/>
      <c r="BR49" s="414"/>
      <c r="BS49" s="418"/>
      <c r="BT49" s="418"/>
      <c r="BU49" s="418"/>
      <c r="BV49" s="418"/>
      <c r="BW49" s="418"/>
      <c r="BX49" s="897"/>
    </row>
    <row r="50" spans="1:76" x14ac:dyDescent="0.25">
      <c r="AL50" s="30">
        <f>SUM(AL6:AL49)</f>
        <v>177910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BX50"/>
  <sheetViews>
    <sheetView zoomScale="110" zoomScaleNormal="110" workbookViewId="0">
      <pane xSplit="4" ySplit="5" topLeftCell="AI36" activePane="bottomRight" state="frozen"/>
      <selection activeCell="R40" sqref="R40"/>
      <selection pane="topRight" activeCell="R40" sqref="R40"/>
      <selection pane="bottomLeft" activeCell="R40" sqref="R40"/>
      <selection pane="bottomRight" activeCell="AM50" sqref="AM5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28515625" customWidth="1"/>
    <col min="40" max="40" width="6.140625" customWidth="1"/>
    <col min="41" max="41" width="10.28515625" style="74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67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5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75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6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19090</v>
      </c>
      <c r="AM7" s="419">
        <v>3670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19090</v>
      </c>
      <c r="AM9" s="419">
        <v>3670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19090</v>
      </c>
      <c r="AM10" s="419">
        <v>3670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19090</v>
      </c>
      <c r="AM11" s="419">
        <v>3670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19090</v>
      </c>
      <c r="AM12" s="419">
        <v>3670</v>
      </c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19090</v>
      </c>
      <c r="AM13" s="419">
        <v>3670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19090</v>
      </c>
      <c r="AM14" s="419">
        <v>3670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19090</v>
      </c>
      <c r="AM16" s="419">
        <v>3670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22.5" customHeight="1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819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418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19090</v>
      </c>
      <c r="AM32" s="419">
        <v>3670</v>
      </c>
      <c r="AN32" s="419"/>
      <c r="AO32" s="76"/>
      <c r="AP32" s="53"/>
      <c r="AQ32" s="330"/>
      <c r="AR32" s="330"/>
      <c r="AS32" s="330"/>
      <c r="AT32" s="330"/>
      <c r="AU32" s="330"/>
      <c r="AV32" s="330"/>
      <c r="AW32" s="319"/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8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873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4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718"/>
      <c r="AN35" s="419"/>
      <c r="AO35" s="76"/>
      <c r="AP35" s="53"/>
      <c r="AQ35" s="416"/>
      <c r="AR35" s="416"/>
      <c r="AS35" s="417"/>
      <c r="AT35" s="416"/>
      <c r="AU35" s="417"/>
      <c r="AV35" s="417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3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3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1'!A44</f>
        <v>36</v>
      </c>
      <c r="B43" s="418" t="str">
        <f>'BANG LUONG 1'!B45</f>
        <v>NV45</v>
      </c>
      <c r="C43" s="418" t="str">
        <f>'BANG LUONG 1'!C46</f>
        <v>Nguyễn Đình Tâm</v>
      </c>
      <c r="D43" s="418" t="str">
        <f>'BANG LUONG 1'!D45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1'!B46</f>
        <v>NV49</v>
      </c>
      <c r="C44" s="418" t="str">
        <f>'BANG LUONG 1'!C47</f>
        <v>Nguyễn Văn Chương</v>
      </c>
      <c r="D44" s="418" t="str">
        <f>'BANG LUONG 1'!D46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171810</v>
      </c>
      <c r="AM50" s="30">
        <f t="shared" ref="AM50:AO50" si="0">SUM(AM6:AM49)</f>
        <v>33030</v>
      </c>
      <c r="AN50" s="30">
        <f t="shared" si="0"/>
        <v>0</v>
      </c>
      <c r="AO50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2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BX50"/>
  <sheetViews>
    <sheetView zoomScaleNormal="100" workbookViewId="0">
      <pane xSplit="4" ySplit="5" topLeftCell="AH27" activePane="bottomRight" state="frozen"/>
      <selection activeCell="R40" sqref="R40"/>
      <selection pane="topRight" activeCell="R40" sqref="R40"/>
      <selection pane="bottomLeft" activeCell="R40" sqref="R40"/>
      <selection pane="bottomRight" activeCell="AM39" sqref="AM39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7109375" customWidth="1"/>
    <col min="39" max="39" width="8" bestFit="1" customWidth="1"/>
    <col min="40" max="40" width="8.42578125" customWidth="1"/>
    <col min="41" max="41" width="9.28515625" style="960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67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961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962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963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10660</v>
      </c>
      <c r="AM7" s="419"/>
      <c r="AN7" s="419"/>
      <c r="AO7" s="963">
        <v>11910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963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10660</v>
      </c>
      <c r="AM9" s="419"/>
      <c r="AN9" s="419"/>
      <c r="AO9" s="963">
        <v>11910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7160</v>
      </c>
      <c r="AM10" s="419"/>
      <c r="AN10" s="419"/>
      <c r="AO10" s="963">
        <v>13970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10660</v>
      </c>
      <c r="AM11" s="419"/>
      <c r="AN11" s="419"/>
      <c r="AO11" s="963">
        <v>11910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7160</v>
      </c>
      <c r="AM12" s="419"/>
      <c r="AN12" s="419"/>
      <c r="AO12" s="963">
        <v>13970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10660</v>
      </c>
      <c r="AM13" s="419"/>
      <c r="AN13" s="419"/>
      <c r="AO13" s="963">
        <v>11910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10660</v>
      </c>
      <c r="AM14" s="419"/>
      <c r="AN14" s="419"/>
      <c r="AO14" s="963">
        <v>11910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963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7160</v>
      </c>
      <c r="AM16" s="419"/>
      <c r="AN16" s="419"/>
      <c r="AO16" s="963">
        <v>13970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963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963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963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963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963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963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963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963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963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963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963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963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963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963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963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s="551" customFormat="1" x14ac:dyDescent="0.25">
      <c r="A32" s="903">
        <f>'BANG LUONG 1'!A34</f>
        <v>27</v>
      </c>
      <c r="B32" s="903" t="str">
        <f>'BANG LUONG 1'!B18</f>
        <v>NV29</v>
      </c>
      <c r="C32" s="903" t="str">
        <f>'BANG LUONG 1'!C18</f>
        <v>Phan Văn Bạn</v>
      </c>
      <c r="D32" s="903" t="str">
        <f>'BANG LUONG 1'!D18</f>
        <v>Lái xe cơ giới</v>
      </c>
      <c r="E32" s="256"/>
      <c r="F32" s="256"/>
      <c r="G32" s="256"/>
      <c r="H32" s="256"/>
      <c r="I32" s="256"/>
      <c r="J32" s="256"/>
      <c r="K32" s="256"/>
      <c r="L32" s="256"/>
      <c r="M32" s="256"/>
      <c r="N32" s="256"/>
      <c r="O32" s="256"/>
      <c r="P32" s="256"/>
      <c r="Q32" s="256"/>
      <c r="R32" s="256"/>
      <c r="S32" s="256"/>
      <c r="T32" s="256"/>
      <c r="U32" s="949"/>
      <c r="V32" s="256"/>
      <c r="W32" s="256"/>
      <c r="X32" s="256"/>
      <c r="Y32" s="256"/>
      <c r="Z32" s="256"/>
      <c r="AA32" s="256"/>
      <c r="AB32" s="256"/>
      <c r="AC32" s="256"/>
      <c r="AD32" s="256"/>
      <c r="AE32" s="256"/>
      <c r="AF32" s="256"/>
      <c r="AG32" s="256"/>
      <c r="AH32" s="256"/>
      <c r="AI32" s="256"/>
      <c r="AJ32" s="256"/>
      <c r="AK32" s="950"/>
      <c r="AL32" s="256">
        <v>7160</v>
      </c>
      <c r="AM32" s="951"/>
      <c r="AN32" s="256"/>
      <c r="AO32" s="963">
        <v>13970</v>
      </c>
      <c r="AP32" s="952"/>
      <c r="AQ32" s="953"/>
      <c r="AR32" s="953"/>
      <c r="AS32" s="954"/>
      <c r="AT32" s="953"/>
      <c r="AU32" s="954"/>
      <c r="AV32" s="954"/>
      <c r="AW32" s="955"/>
      <c r="AX32" s="956"/>
      <c r="AY32" s="955"/>
      <c r="AZ32" s="955"/>
      <c r="BA32" s="955"/>
      <c r="BB32" s="955"/>
      <c r="BC32" s="957"/>
      <c r="BD32" s="950"/>
      <c r="BE32" s="903"/>
      <c r="BF32" s="903"/>
      <c r="BG32" s="903"/>
      <c r="BH32" s="903"/>
      <c r="BI32" s="950"/>
      <c r="BJ32" s="903"/>
      <c r="BK32" s="903"/>
      <c r="BL32" s="903"/>
      <c r="BN32" s="903"/>
      <c r="BO32" s="903"/>
      <c r="BP32" s="903"/>
      <c r="BQ32" s="903"/>
      <c r="BR32" s="958"/>
      <c r="BS32" s="903"/>
      <c r="BT32" s="903"/>
      <c r="BU32" s="903"/>
      <c r="BV32" s="959"/>
      <c r="BW32" s="903"/>
      <c r="BX32" s="950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963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963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963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963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963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963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963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963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963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963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963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963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963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963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963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963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108">
        <f>SUM(AL6:AL49)</f>
        <v>81940</v>
      </c>
      <c r="AM50" s="108">
        <f t="shared" ref="AM50:AO50" si="0">SUM(AM6:AM49)</f>
        <v>0</v>
      </c>
      <c r="AN50" s="108">
        <f t="shared" si="0"/>
        <v>0</v>
      </c>
      <c r="AO50" s="960">
        <f t="shared" si="0"/>
        <v>115430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BX52"/>
  <sheetViews>
    <sheetView zoomScale="96" zoomScaleNormal="96" workbookViewId="0">
      <pane xSplit="4" ySplit="5" topLeftCell="AD6" activePane="bottomRight" state="frozen"/>
      <selection activeCell="R40" sqref="R40"/>
      <selection pane="topRight" activeCell="R40" sqref="R40"/>
      <selection pane="bottomLeft" activeCell="R40" sqref="R40"/>
      <selection pane="bottomRight" activeCell="AL17" sqref="AL17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" bestFit="1" customWidth="1"/>
    <col min="40" max="40" width="6.140625" customWidth="1"/>
    <col min="41" max="41" width="10.710937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67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18380</v>
      </c>
      <c r="AM7" s="419">
        <v>6685.5555555555557</v>
      </c>
      <c r="AN7" s="419"/>
      <c r="AO7" s="76">
        <v>2870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>
        <v>120</v>
      </c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18380</v>
      </c>
      <c r="AM9" s="419">
        <v>6685.5555555555557</v>
      </c>
      <c r="AN9" s="419"/>
      <c r="AO9" s="76">
        <v>2870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>
        <v>120</v>
      </c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14400</v>
      </c>
      <c r="AM10" s="419">
        <v>6685.5555555555557</v>
      </c>
      <c r="AN10" s="419"/>
      <c r="AO10" s="76">
        <v>13610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18380</v>
      </c>
      <c r="AM11" s="419">
        <v>6685.5555555555557</v>
      </c>
      <c r="AN11" s="419"/>
      <c r="AO11" s="76">
        <v>2870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>
        <v>120</v>
      </c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14400</v>
      </c>
      <c r="AM12" s="419">
        <v>6685.5555555555557</v>
      </c>
      <c r="AN12" s="419"/>
      <c r="AO12" s="76">
        <v>13610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18380</v>
      </c>
      <c r="AM13" s="419">
        <v>6685.5555555555557</v>
      </c>
      <c r="AN13" s="419"/>
      <c r="AO13" s="76">
        <v>2870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>
        <v>120</v>
      </c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18380</v>
      </c>
      <c r="AM14" s="419">
        <v>6685.5555555555557</v>
      </c>
      <c r="AN14" s="419"/>
      <c r="AO14" s="76">
        <v>2870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>
        <v>120</v>
      </c>
      <c r="BU14" s="418"/>
      <c r="BV14" s="418"/>
      <c r="BW14" s="418"/>
      <c r="BX14" s="45"/>
    </row>
    <row r="15" spans="1:76" s="825" customFormat="1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14400</v>
      </c>
      <c r="AM16" s="419">
        <v>6685.5555555555557</v>
      </c>
      <c r="AN16" s="419"/>
      <c r="AO16" s="76">
        <v>13610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14400</v>
      </c>
      <c r="AM32" s="419">
        <v>6685.5555555555557</v>
      </c>
      <c r="AN32" s="419"/>
      <c r="AO32" s="76">
        <v>13610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149500</v>
      </c>
      <c r="AM50" s="30">
        <f>SUM(AM6:AM49)</f>
        <v>60170</v>
      </c>
      <c r="AN50" s="30">
        <f>SUM(AN6:AN49)</f>
        <v>0</v>
      </c>
      <c r="AO50" s="30">
        <f>SUM(AO6:AO49)</f>
        <v>68790</v>
      </c>
    </row>
    <row r="52" spans="1:41" x14ac:dyDescent="0.25">
      <c r="AM52" s="108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BX50"/>
  <sheetViews>
    <sheetView zoomScaleNormal="100" workbookViewId="0">
      <pane xSplit="4" ySplit="5" topLeftCell="BC21" activePane="bottomRight" state="frozen"/>
      <selection activeCell="R40" sqref="R40"/>
      <selection pane="topRight" activeCell="R40" sqref="R40"/>
      <selection pane="bottomLeft" activeCell="R40" sqref="R40"/>
      <selection pane="bottomRight" activeCell="BT15" sqref="BT15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9" width="6.140625" customWidth="1"/>
    <col min="10" max="10" width="7.5703125" customWidth="1"/>
    <col min="11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28515625" bestFit="1" customWidth="1"/>
    <col min="39" max="39" width="8" customWidth="1"/>
    <col min="40" max="40" width="6.140625" customWidth="1"/>
    <col min="41" max="41" width="9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19050</v>
      </c>
      <c r="AM7" s="419">
        <v>5020</v>
      </c>
      <c r="AN7" s="419"/>
      <c r="AO7" s="76">
        <v>7390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>
        <v>50</v>
      </c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19050</v>
      </c>
      <c r="AM9" s="419">
        <v>5020</v>
      </c>
      <c r="AN9" s="419"/>
      <c r="AO9" s="76">
        <v>7390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>
        <v>50</v>
      </c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24400</v>
      </c>
      <c r="AM10" s="419">
        <v>5020</v>
      </c>
      <c r="AN10" s="419"/>
      <c r="AO10" s="76">
        <v>7390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23720</v>
      </c>
      <c r="AM11" s="419">
        <v>3870</v>
      </c>
      <c r="AN11" s="419"/>
      <c r="AO11" s="76">
        <v>7390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24400</v>
      </c>
      <c r="AM12" s="419">
        <v>5020</v>
      </c>
      <c r="AN12" s="419"/>
      <c r="AO12" s="76">
        <v>7390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19050</v>
      </c>
      <c r="AM13" s="419">
        <v>5020</v>
      </c>
      <c r="AN13" s="419"/>
      <c r="AO13" s="76">
        <v>7390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>
        <v>50</v>
      </c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19050</v>
      </c>
      <c r="AM14" s="419">
        <v>5020</v>
      </c>
      <c r="AN14" s="419"/>
      <c r="AO14" s="76">
        <v>7390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>
        <v>50</v>
      </c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21600</v>
      </c>
      <c r="AM16" s="419">
        <v>3240</v>
      </c>
      <c r="AN16" s="419"/>
      <c r="AO16" s="76">
        <v>7390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21600</v>
      </c>
      <c r="AM32" s="419">
        <v>3240</v>
      </c>
      <c r="AN32" s="419"/>
      <c r="AO32" s="76">
        <v>7390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108">
        <f>SUM(AL6:AL49)</f>
        <v>191920</v>
      </c>
      <c r="AM50" s="108">
        <f t="shared" ref="AM50:AO50" si="0">SUM(AM6:AM49)</f>
        <v>40470</v>
      </c>
      <c r="AN50" s="108">
        <f t="shared" si="0"/>
        <v>0</v>
      </c>
      <c r="AO50" s="108">
        <f t="shared" si="0"/>
        <v>66510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BX49"/>
  <sheetViews>
    <sheetView zoomScaleNormal="100" workbookViewId="0">
      <pane xSplit="4" ySplit="5" topLeftCell="AG39" activePane="bottomRight" state="frozen"/>
      <selection activeCell="R40" sqref="R40"/>
      <selection pane="topRight" activeCell="R40" sqref="R40"/>
      <selection pane="bottomLeft" activeCell="R40" sqref="R40"/>
      <selection pane="bottomRight" activeCell="AM14" sqref="AM14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customWidth="1"/>
    <col min="39" max="39" width="8" bestFit="1" customWidth="1"/>
    <col min="40" max="40" width="6.140625" customWidth="1"/>
    <col min="41" max="41" width="9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33660</v>
      </c>
      <c r="AM7" s="419">
        <v>7050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34110</v>
      </c>
      <c r="AM9" s="419">
        <v>7050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419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23120</v>
      </c>
      <c r="AM11" s="419">
        <v>7050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419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34110</v>
      </c>
      <c r="AM13" s="419">
        <v>7050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22670</v>
      </c>
      <c r="AM14" s="419">
        <v>7050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34110</v>
      </c>
      <c r="AM16" s="419">
        <v>7050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34110</v>
      </c>
      <c r="AM32" s="419">
        <v>7050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1'!A46</f>
        <v>38</v>
      </c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76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896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897"/>
      <c r="AL49" s="117">
        <f>SUM(AL6:AL48)</f>
        <v>215890</v>
      </c>
      <c r="AM49" s="117">
        <f t="shared" ref="AM49:AO49" si="0">SUM(AM6:AM48)</f>
        <v>49350</v>
      </c>
      <c r="AN49" s="117">
        <f t="shared" si="0"/>
        <v>0</v>
      </c>
      <c r="AO49" s="117">
        <f t="shared" si="0"/>
        <v>0</v>
      </c>
      <c r="AP49" s="897"/>
      <c r="AQ49" s="899"/>
      <c r="AR49" s="899"/>
      <c r="AS49" s="899"/>
      <c r="AT49" s="899"/>
      <c r="AU49" s="899"/>
      <c r="AV49" s="899"/>
      <c r="AW49" s="900"/>
      <c r="AX49" s="900"/>
      <c r="AY49" s="900"/>
      <c r="AZ49" s="900"/>
      <c r="BA49" s="900"/>
      <c r="BB49" s="900"/>
      <c r="BC49" s="901"/>
      <c r="BD49" s="897"/>
      <c r="BE49" s="895"/>
      <c r="BF49" s="895"/>
      <c r="BG49" s="895"/>
      <c r="BH49" s="895"/>
      <c r="BI49" s="897"/>
      <c r="BJ49" s="895"/>
      <c r="BK49" s="895"/>
      <c r="BL49" s="895"/>
      <c r="BM49" s="895"/>
      <c r="BN49" s="895"/>
      <c r="BO49" s="895"/>
      <c r="BP49" s="895"/>
      <c r="BQ49" s="895"/>
      <c r="BR49" s="902"/>
      <c r="BS49" s="895"/>
      <c r="BT49" s="895"/>
      <c r="BU49" s="895"/>
      <c r="BV49" s="895"/>
      <c r="BW49" s="895"/>
      <c r="BX49" s="897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X50"/>
  <sheetViews>
    <sheetView zoomScale="106" zoomScaleNormal="106" workbookViewId="0">
      <pane xSplit="4" ySplit="5" topLeftCell="BG27" activePane="bottomRight" state="frozen"/>
      <selection activeCell="R40" sqref="R40"/>
      <selection pane="topRight" activeCell="R40" sqref="R40"/>
      <selection pane="bottomLeft" activeCell="R40" sqref="R40"/>
      <selection pane="bottomRight" activeCell="E6" sqref="E6:BX48"/>
    </sheetView>
  </sheetViews>
  <sheetFormatPr defaultRowHeight="15" x14ac:dyDescent="0.25"/>
  <cols>
    <col min="1" max="1" width="4.7109375" customWidth="1"/>
    <col min="2" max="2" width="6.4257812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8.28515625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8" style="30" bestFit="1" customWidth="1"/>
    <col min="39" max="39" width="8.5703125" customWidth="1"/>
    <col min="40" max="40" width="6.140625" customWidth="1"/>
    <col min="41" max="41" width="10.28515625" style="30" bestFit="1" customWidth="1"/>
    <col min="42" max="42" width="2.7109375" customWidth="1"/>
    <col min="43" max="43" width="4.85546875" style="334" customWidth="1"/>
    <col min="44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71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135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718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18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718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718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718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718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718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718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18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718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8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76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896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897"/>
      <c r="AL49" s="117"/>
      <c r="AM49" s="117"/>
      <c r="AN49" s="117"/>
      <c r="AO49" s="898"/>
      <c r="AP49" s="897"/>
      <c r="AQ49" s="899"/>
      <c r="AR49" s="899"/>
      <c r="AS49" s="899"/>
      <c r="AT49" s="899"/>
      <c r="AU49" s="899"/>
      <c r="AV49" s="899"/>
      <c r="AW49" s="900"/>
      <c r="AX49" s="900"/>
      <c r="AY49" s="900"/>
      <c r="AZ49" s="900"/>
      <c r="BA49" s="900"/>
      <c r="BB49" s="900"/>
      <c r="BC49" s="901"/>
      <c r="BD49" s="897"/>
      <c r="BE49" s="895"/>
      <c r="BF49" s="895"/>
      <c r="BG49" s="895"/>
      <c r="BH49" s="895"/>
      <c r="BI49" s="897"/>
      <c r="BJ49" s="895"/>
      <c r="BK49" s="895"/>
      <c r="BL49" s="895"/>
      <c r="BM49" s="895"/>
      <c r="BN49" s="895"/>
      <c r="BO49" s="895"/>
      <c r="BP49" s="895"/>
      <c r="BQ49" s="895"/>
      <c r="BR49" s="902"/>
      <c r="BS49" s="895"/>
      <c r="BT49" s="895"/>
      <c r="BU49" s="895"/>
      <c r="BV49" s="895"/>
      <c r="BW49" s="895"/>
      <c r="BX49" s="897"/>
    </row>
    <row r="50" spans="1:76" x14ac:dyDescent="0.25">
      <c r="AL50" s="30">
        <f>SUM(AL6:AL49)</f>
        <v>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0</v>
      </c>
    </row>
  </sheetData>
  <mergeCells count="7">
    <mergeCell ref="BE3:BH3"/>
    <mergeCell ref="BJ3:BV3"/>
    <mergeCell ref="E5:S5"/>
    <mergeCell ref="E3:S3"/>
    <mergeCell ref="V3:AJ3"/>
    <mergeCell ref="AL3:AM3"/>
    <mergeCell ref="AQ3:BC3"/>
  </mergeCells>
  <pageMargins left="0.2" right="0.2" top="0.2" bottom="0.2" header="0.22" footer="0.2"/>
  <pageSetup paperSize="9" scale="2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X50"/>
  <sheetViews>
    <sheetView zoomScaleNormal="100" workbookViewId="0">
      <pane xSplit="4" ySplit="5" topLeftCell="AC6" activePane="bottomRight" state="frozen"/>
      <selection activeCell="R40" sqref="R40"/>
      <selection pane="topRight" activeCell="R40" sqref="R40"/>
      <selection pane="bottomLeft" activeCell="R40" sqref="R40"/>
      <selection pane="bottomRight" activeCell="AL6" sqref="AL6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2" customWidth="1"/>
    <col min="39" max="39" width="9.5703125" style="30" customWidth="1"/>
    <col min="40" max="40" width="7.7109375" bestFit="1" customWidth="1"/>
    <col min="41" max="41" width="12.425781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638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64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21"/>
      <c r="AM7" s="41"/>
      <c r="AN7" s="421"/>
      <c r="AO7" s="421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21"/>
      <c r="AM8" s="41"/>
      <c r="AN8" s="421"/>
      <c r="AO8" s="421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21"/>
      <c r="AM9" s="41"/>
      <c r="AN9" s="421"/>
      <c r="AO9" s="421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21"/>
      <c r="AM10" s="41"/>
      <c r="AN10" s="421"/>
      <c r="AO10" s="421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21"/>
      <c r="AM11" s="41"/>
      <c r="AN11" s="421"/>
      <c r="AO11" s="421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21"/>
      <c r="AM12" s="41"/>
      <c r="AN12" s="421"/>
      <c r="AO12" s="421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21"/>
      <c r="AM13" s="41"/>
      <c r="AN13" s="421"/>
      <c r="AO13" s="421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21"/>
      <c r="AM14" s="41"/>
      <c r="AN14" s="421"/>
      <c r="AO14" s="421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21"/>
      <c r="AM15" s="41"/>
      <c r="AN15" s="421"/>
      <c r="AO15" s="421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21"/>
      <c r="AM16" s="41"/>
      <c r="AN16" s="421"/>
      <c r="AO16" s="421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"/>
      <c r="AM17" s="419"/>
      <c r="AN17" s="419"/>
      <c r="AO17" s="890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21"/>
      <c r="AM32" s="41"/>
      <c r="AN32" s="421"/>
      <c r="AO32" s="421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76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896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897"/>
      <c r="AL49" s="117"/>
      <c r="AM49" s="117"/>
      <c r="AN49" s="117"/>
      <c r="AO49" s="898"/>
      <c r="AP49" s="897"/>
      <c r="AQ49" s="899"/>
      <c r="AR49" s="899"/>
      <c r="AS49" s="899"/>
      <c r="AT49" s="899"/>
      <c r="AU49" s="899"/>
      <c r="AV49" s="899"/>
      <c r="AW49" s="900"/>
      <c r="AX49" s="900"/>
      <c r="AY49" s="900"/>
      <c r="AZ49" s="900"/>
      <c r="BA49" s="900"/>
      <c r="BB49" s="900"/>
      <c r="BC49" s="901"/>
      <c r="BD49" s="897"/>
      <c r="BE49" s="895"/>
      <c r="BF49" s="895"/>
      <c r="BG49" s="895"/>
      <c r="BH49" s="895"/>
      <c r="BI49" s="897"/>
      <c r="BJ49" s="895"/>
      <c r="BK49" s="895"/>
      <c r="BL49" s="895"/>
      <c r="BM49" s="895"/>
      <c r="BN49" s="895"/>
      <c r="BO49" s="895"/>
      <c r="BP49" s="895"/>
      <c r="BQ49" s="895"/>
      <c r="BR49" s="902"/>
      <c r="BS49" s="895"/>
      <c r="BT49" s="895"/>
      <c r="BU49" s="895"/>
      <c r="BV49" s="895"/>
      <c r="BW49" s="895"/>
      <c r="BX49" s="897"/>
    </row>
    <row r="50" spans="1:76" x14ac:dyDescent="0.25">
      <c r="AL50" s="108">
        <f>SUM(AL6:AL49)</f>
        <v>0</v>
      </c>
      <c r="AM50" s="108">
        <f t="shared" ref="AM50:AO50" si="0">SUM(AM6:AM49)</f>
        <v>0</v>
      </c>
      <c r="AN50" s="108">
        <f t="shared" si="0"/>
        <v>0</v>
      </c>
      <c r="AO50" s="108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X50"/>
  <sheetViews>
    <sheetView zoomScale="106" zoomScaleNormal="106" workbookViewId="0">
      <pane xSplit="4" ySplit="5" topLeftCell="BF6" activePane="bottomRight" state="frozen"/>
      <selection activeCell="R40" sqref="R40"/>
      <selection pane="topRight" activeCell="R40" sqref="R40"/>
      <selection pane="bottomLeft" activeCell="R40" sqref="R40"/>
      <selection pane="bottomRight" activeCell="BK7" sqref="BK7"/>
    </sheetView>
  </sheetViews>
  <sheetFormatPr defaultColWidth="9.140625" defaultRowHeight="15" x14ac:dyDescent="0.25"/>
  <cols>
    <col min="1" max="1" width="4.7109375" style="446" customWidth="1"/>
    <col min="2" max="2" width="7.85546875" style="446" customWidth="1"/>
    <col min="3" max="3" width="18.7109375" style="446" customWidth="1"/>
    <col min="4" max="4" width="11.42578125" style="446" bestFit="1" customWidth="1"/>
    <col min="5" max="20" width="6.140625" style="446" customWidth="1"/>
    <col min="21" max="21" width="3.42578125" style="446" customWidth="1"/>
    <col min="22" max="24" width="6.140625" style="446" customWidth="1"/>
    <col min="25" max="25" width="7" style="446" bestFit="1" customWidth="1"/>
    <col min="26" max="26" width="5.140625" style="446" bestFit="1" customWidth="1"/>
    <col min="27" max="27" width="7" style="446" bestFit="1" customWidth="1"/>
    <col min="28" max="36" width="6.140625" style="446" customWidth="1"/>
    <col min="37" max="37" width="2.7109375" style="446" customWidth="1"/>
    <col min="38" max="38" width="10.5703125" style="641" customWidth="1"/>
    <col min="39" max="39" width="10.7109375" style="446" customWidth="1"/>
    <col min="40" max="40" width="6.140625" style="446" customWidth="1"/>
    <col min="41" max="41" width="11.42578125" style="446" customWidth="1"/>
    <col min="42" max="42" width="2.7109375" style="446" customWidth="1"/>
    <col min="43" max="48" width="6.42578125" style="452" customWidth="1"/>
    <col min="49" max="54" width="6.42578125" style="453" customWidth="1"/>
    <col min="55" max="55" width="6.42578125" style="454" customWidth="1"/>
    <col min="56" max="56" width="4.28515625" style="446" customWidth="1"/>
    <col min="57" max="60" width="6.42578125" style="446" customWidth="1"/>
    <col min="61" max="61" width="4" style="446" customWidth="1"/>
    <col min="62" max="63" width="6.42578125" style="446" customWidth="1"/>
    <col min="64" max="64" width="8.28515625" style="446" customWidth="1"/>
    <col min="65" max="71" width="6.42578125" style="446" customWidth="1"/>
    <col min="72" max="72" width="5" style="446" customWidth="1"/>
    <col min="73" max="75" width="6.42578125" style="446" customWidth="1"/>
    <col min="76" max="76" width="3.7109375" style="446" customWidth="1"/>
    <col min="77" max="16384" width="9.140625" style="446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541" t="s">
        <v>0</v>
      </c>
      <c r="B3" s="541" t="s">
        <v>284</v>
      </c>
      <c r="C3" s="541" t="s">
        <v>2</v>
      </c>
      <c r="D3" s="541" t="s">
        <v>3</v>
      </c>
      <c r="E3" s="1084" t="s">
        <v>285</v>
      </c>
      <c r="F3" s="1084"/>
      <c r="G3" s="1084"/>
      <c r="H3" s="1084"/>
      <c r="I3" s="1084"/>
      <c r="J3" s="1084"/>
      <c r="K3" s="1084"/>
      <c r="L3" s="1084"/>
      <c r="M3" s="1084"/>
      <c r="N3" s="1084"/>
      <c r="O3" s="1084"/>
      <c r="P3" s="1084"/>
      <c r="Q3" s="1084"/>
      <c r="R3" s="1084"/>
      <c r="S3" s="1084"/>
      <c r="T3" s="541"/>
      <c r="U3" s="455"/>
      <c r="V3" s="1084" t="s">
        <v>283</v>
      </c>
      <c r="W3" s="1084"/>
      <c r="X3" s="1084"/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455"/>
      <c r="AL3" s="1071" t="s">
        <v>295</v>
      </c>
      <c r="AM3" s="1073"/>
      <c r="AN3" s="456"/>
      <c r="AO3" s="456"/>
      <c r="AP3" s="457"/>
      <c r="AQ3" s="1081" t="s">
        <v>286</v>
      </c>
      <c r="AR3" s="1082"/>
      <c r="AS3" s="1082"/>
      <c r="AT3" s="1082"/>
      <c r="AU3" s="1082"/>
      <c r="AV3" s="1082"/>
      <c r="AW3" s="1082"/>
      <c r="AX3" s="1082"/>
      <c r="AY3" s="1082"/>
      <c r="AZ3" s="1082"/>
      <c r="BA3" s="1082"/>
      <c r="BB3" s="1082"/>
      <c r="BC3" s="1083"/>
      <c r="BD3" s="455"/>
      <c r="BE3" s="1071" t="s">
        <v>682</v>
      </c>
      <c r="BF3" s="1072"/>
      <c r="BG3" s="1072"/>
      <c r="BH3" s="1072"/>
      <c r="BI3" s="455"/>
      <c r="BJ3" s="1071" t="s">
        <v>287</v>
      </c>
      <c r="BK3" s="1072"/>
      <c r="BL3" s="1072"/>
      <c r="BM3" s="1072"/>
      <c r="BN3" s="1072"/>
      <c r="BO3" s="1072"/>
      <c r="BP3" s="1072"/>
      <c r="BQ3" s="1072"/>
      <c r="BR3" s="1072"/>
      <c r="BS3" s="1072"/>
      <c r="BT3" s="1072"/>
      <c r="BU3" s="1072"/>
      <c r="BV3" s="1073"/>
      <c r="BW3" s="458"/>
      <c r="BX3" s="455"/>
    </row>
    <row r="4" spans="1:76" s="465" customFormat="1" ht="80.25" x14ac:dyDescent="0.25">
      <c r="A4" s="49"/>
      <c r="B4" s="49"/>
      <c r="C4" s="49"/>
      <c r="D4" s="449"/>
      <c r="E4" s="450" t="str">
        <f>'Công tổng'!E4</f>
        <v>BX-bao 3dm3</v>
      </c>
      <c r="F4" s="450" t="str">
        <f>'Công tổng'!F4</f>
        <v>BX-bao 5dm3</v>
      </c>
      <c r="G4" s="450" t="str">
        <f>'Công tổng'!G4</f>
        <v>BX-bao 10dm3</v>
      </c>
      <c r="H4" s="450" t="str">
        <f>'Công tổng'!H4</f>
        <v>BX-bao 20dm3</v>
      </c>
      <c r="I4" s="450" t="str">
        <f>'Công tổng'!I4</f>
        <v>BX-bao 40dm3</v>
      </c>
      <c r="J4" s="450" t="str">
        <f>'Công tổng'!J4</f>
        <v>BX-bao 50dm3</v>
      </c>
      <c r="K4" s="450" t="str">
        <f>'Công tổng'!K4</f>
        <v>BX-bao 100dm3</v>
      </c>
      <c r="L4" s="450" t="str">
        <f>'Công tổng'!L4</f>
        <v>BX-bao 0,2kg</v>
      </c>
      <c r="M4" s="450" t="str">
        <f>'Công tổng'!M4</f>
        <v>BX-bao 0,5 kg</v>
      </c>
      <c r="N4" s="450" t="str">
        <f>'Công tổng'!N4</f>
        <v>BX-bao 01kg</v>
      </c>
      <c r="O4" s="450" t="str">
        <f>'Công tổng'!O4</f>
        <v>BX-bao 10kg</v>
      </c>
      <c r="P4" s="450" t="str">
        <f>'Công tổng'!P4</f>
        <v>BX-bao 25kg</v>
      </c>
      <c r="Q4" s="450" t="str">
        <f>'Công tổng'!Q4</f>
        <v>BX-bao 35kg</v>
      </c>
      <c r="R4" s="450" t="str">
        <f>'Công tổng'!R4</f>
        <v>BX-bao 40kg</v>
      </c>
      <c r="S4" s="450" t="str">
        <f>'Công tổng'!S4</f>
        <v>BX-bao 50kg</v>
      </c>
      <c r="T4" s="450" t="str">
        <f>'Công tổng'!T4</f>
        <v>BX-HÀNG LINH TINH</v>
      </c>
      <c r="U4" s="459"/>
      <c r="V4" s="450" t="str">
        <f>'Công tổng'!V4</f>
        <v>SX-bao 3dm3</v>
      </c>
      <c r="W4" s="450" t="str">
        <f>'Công tổng'!W4</f>
        <v>SX-bao 5dm3</v>
      </c>
      <c r="X4" s="450" t="str">
        <f>'Công tổng'!X4</f>
        <v>SX-bao 10dm3</v>
      </c>
      <c r="Y4" s="450" t="str">
        <f>'Công tổng'!Y4</f>
        <v>SX-bao 20dm3</v>
      </c>
      <c r="Z4" s="450" t="str">
        <f>'Công tổng'!Z4</f>
        <v>SX-bao 40dm3</v>
      </c>
      <c r="AA4" s="450" t="str">
        <f>'Công tổng'!AA4</f>
        <v>SX-bao 50dm3</v>
      </c>
      <c r="AB4" s="450" t="str">
        <f>'Công tổng'!AB4</f>
        <v>SX-bao 100dm3</v>
      </c>
      <c r="AC4" s="450" t="str">
        <f>'Công tổng'!AC4</f>
        <v>SX-bao 0,2kg</v>
      </c>
      <c r="AD4" s="450" t="str">
        <f>'Công tổng'!AD4</f>
        <v>SX-bao 0,5 kg</v>
      </c>
      <c r="AE4" s="450" t="str">
        <f>'Công tổng'!AE4</f>
        <v>SX-bao 01kg</v>
      </c>
      <c r="AF4" s="450" t="str">
        <f>'Công tổng'!AF4</f>
        <v>SX-bao 10kg</v>
      </c>
      <c r="AG4" s="450" t="str">
        <f>'Công tổng'!AG4</f>
        <v>SX-bao 25kg</v>
      </c>
      <c r="AH4" s="450" t="str">
        <f>'Công tổng'!AH4</f>
        <v>SX-bao 35kg</v>
      </c>
      <c r="AI4" s="450" t="str">
        <f>'Công tổng'!AI4</f>
        <v>SX-bao 40kg</v>
      </c>
      <c r="AJ4" s="450" t="str">
        <f>'Công tổng'!AJ4</f>
        <v>SX-bao 50kg</v>
      </c>
      <c r="AK4" s="459"/>
      <c r="AL4" s="642" t="str">
        <f>'Công tổng'!AL4</f>
        <v>Bùn Bình Hưng</v>
      </c>
      <c r="AM4" s="460" t="str">
        <f>'Công tổng'!AM4</f>
        <v>Bùn Bình Hưng Hòa</v>
      </c>
      <c r="AN4" s="460" t="str">
        <f>'Công tổng'!AN4</f>
        <v>Xử lý bùn Tân Hóa - Lò gốm</v>
      </c>
      <c r="AO4" s="460" t="str">
        <f>'Công tổng'!AO4</f>
        <v>Xử lý bùn Duy tu</v>
      </c>
      <c r="AP4" s="461"/>
      <c r="AQ4" s="462" t="str">
        <f>'Công tổng'!AQ4</f>
        <v>Lái xe xúc</v>
      </c>
      <c r="AR4" s="462" t="str">
        <f>'Công tổng'!AR4</f>
        <v>Lái xe múc (Xe Kobel)</v>
      </c>
      <c r="AS4" s="462" t="str">
        <f>'Công tổng'!AS4</f>
        <v>Lái xe ủi</v>
      </c>
      <c r="AT4" s="462" t="str">
        <f>'Công tổng'!AT4</f>
        <v>Lái xe Ben</v>
      </c>
      <c r="AU4" s="462" t="str">
        <f>'Công tổng'!AU4</f>
        <v>Lái xe nâng</v>
      </c>
      <c r="AV4" s="462" t="str">
        <f>'Công tổng'!AV4</f>
        <v>Lái xe máy xới</v>
      </c>
      <c r="AW4" s="463" t="str">
        <f>'Công tổng'!AW4</f>
        <v>Lái xe xúc</v>
      </c>
      <c r="AX4" s="463" t="str">
        <f>'Công tổng'!AX4</f>
        <v>Lái xe múc</v>
      </c>
      <c r="AY4" s="463" t="str">
        <f>'Công tổng'!AY4</f>
        <v>Lái xe ủi</v>
      </c>
      <c r="AZ4" s="463" t="str">
        <f>'Công tổng'!AZ4</f>
        <v>Lái xe Ben</v>
      </c>
      <c r="BA4" s="463" t="str">
        <f>'Công tổng'!BA4</f>
        <v>Lái xe nâng</v>
      </c>
      <c r="BB4" s="463" t="str">
        <f>'Công tổng'!BB4</f>
        <v>Lái xe máy xới</v>
      </c>
      <c r="BC4" s="464" t="str">
        <f>'Công tổng'!BC4</f>
        <v>Lái xe múc</v>
      </c>
      <c r="BD4" s="459"/>
      <c r="BE4" s="450" t="str">
        <f>'Công tổng'!BE4</f>
        <v>Đứng máy xay phân bò</v>
      </c>
      <c r="BF4" s="450" t="str">
        <f>'Công tổng'!BF4</f>
        <v>Đứng máy T-O</v>
      </c>
      <c r="BG4" s="450" t="str">
        <f>'Công tổng'!BG4</f>
        <v>Đứng máy xay T-MB</v>
      </c>
      <c r="BH4" s="450">
        <f>'Công tổng'!BH4</f>
        <v>0</v>
      </c>
      <c r="BI4" s="459"/>
      <c r="BJ4" s="450" t="str">
        <f>'Công tổng'!BJ4</f>
        <v>Làm vườn rau</v>
      </c>
      <c r="BK4" s="450" t="str">
        <f>'Công tổng'!BK4</f>
        <v>Việc linh tinh khác</v>
      </c>
      <c r="BL4" s="450" t="str">
        <f>'Công tổng'!BL4</f>
        <v>Lượm rác, đá (xử lý sơ bộ)</v>
      </c>
      <c r="BM4" s="450" t="str">
        <f>'Công tổng'!BM4</f>
        <v>Dọn vệ sinh</v>
      </c>
      <c r="BN4" s="450" t="str">
        <f>'Công tổng'!BN4</f>
        <v>Trồng cây</v>
      </c>
      <c r="BO4" s="450" t="str">
        <f>'Công tổng'!BO4</f>
        <v>Tưới bãi NVL, tưới đường, Tưới cây</v>
      </c>
      <c r="BP4" s="450" t="str">
        <f>'Công tổng'!BP4</f>
        <v>Bơm nước</v>
      </c>
      <c r="BQ4" s="450" t="str">
        <f>'Công tổng'!BQ4</f>
        <v>Xổ tro, phân bò</v>
      </c>
      <c r="BR4" s="450" t="str">
        <f>'Công tổng'!BR4</f>
        <v>kéo mở, đậy bạt</v>
      </c>
      <c r="BS4" s="450" t="str">
        <f>'Công tổng'!BS4</f>
        <v>Đóng date, dán nhãn</v>
      </c>
      <c r="BT4" s="450" t="str">
        <f>'Công tổng'!BT4</f>
        <v>làm kho</v>
      </c>
      <c r="BU4" s="450" t="str">
        <f>'Công tổng'!BU4</f>
        <v>Làm cỏ</v>
      </c>
      <c r="BV4" s="450" t="str">
        <f>'Công tổng'!BV4</f>
        <v>Sửa chữa +phụ sửa xe+ sửa máy khác</v>
      </c>
      <c r="BW4" s="450" t="str">
        <f>'Công tổng'!BW4</f>
        <v>Làm điện</v>
      </c>
      <c r="BX4" s="459"/>
    </row>
    <row r="5" spans="1:76" s="465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59"/>
      <c r="V5" s="451"/>
      <c r="W5" s="451"/>
      <c r="X5" s="451"/>
      <c r="Y5" s="451"/>
      <c r="Z5" s="451"/>
      <c r="AA5" s="451"/>
      <c r="AB5" s="451"/>
      <c r="AC5" s="451"/>
      <c r="AD5" s="451"/>
      <c r="AE5" s="451"/>
      <c r="AF5" s="451"/>
      <c r="AG5" s="451"/>
      <c r="AH5" s="451"/>
      <c r="AI5" s="451"/>
      <c r="AJ5" s="451"/>
      <c r="AK5" s="459"/>
      <c r="AL5" s="643"/>
      <c r="AM5" s="451"/>
      <c r="AN5" s="466"/>
      <c r="AO5" s="466"/>
      <c r="AP5" s="461"/>
      <c r="AQ5" s="462"/>
      <c r="AR5" s="462"/>
      <c r="AS5" s="462"/>
      <c r="AT5" s="462"/>
      <c r="AU5" s="462"/>
      <c r="AV5" s="462"/>
      <c r="AW5" s="463"/>
      <c r="AX5" s="463"/>
      <c r="AY5" s="463"/>
      <c r="AZ5" s="463"/>
      <c r="BA5" s="463"/>
      <c r="BB5" s="463"/>
      <c r="BC5" s="464"/>
      <c r="BD5" s="459"/>
      <c r="BE5" s="451"/>
      <c r="BF5" s="451"/>
      <c r="BG5" s="451"/>
      <c r="BH5" s="451"/>
      <c r="BI5" s="459"/>
      <c r="BJ5" s="451"/>
      <c r="BK5" s="451"/>
      <c r="BL5" s="451"/>
      <c r="BM5" s="451"/>
      <c r="BN5" s="451"/>
      <c r="BO5" s="451"/>
      <c r="BP5" s="451"/>
      <c r="BQ5" s="451"/>
      <c r="BR5" s="451"/>
      <c r="BS5" s="451"/>
      <c r="BT5" s="451"/>
      <c r="BU5" s="451"/>
      <c r="BV5" s="451"/>
      <c r="BW5" s="451"/>
      <c r="BX5" s="459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419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>
        <v>480</v>
      </c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31160</v>
      </c>
      <c r="AM9" s="419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31160</v>
      </c>
      <c r="AM10" s="419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ht="14.25" customHeight="1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31160</v>
      </c>
      <c r="AM11" s="419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31160</v>
      </c>
      <c r="AM12" s="419"/>
      <c r="AN12" s="419"/>
      <c r="AO12" s="76"/>
      <c r="AP12" s="53"/>
      <c r="AQ12" s="330"/>
      <c r="AR12" s="334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31160</v>
      </c>
      <c r="AM13" s="419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31160</v>
      </c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31160</v>
      </c>
      <c r="AM16" s="419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customFormat="1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customFormat="1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customFormat="1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customFormat="1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customFormat="1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customFormat="1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customFormat="1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M32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641">
        <f>SUM(AL6:AL49)</f>
        <v>218120</v>
      </c>
      <c r="AM50" s="641">
        <f t="shared" ref="AM50:AO50" si="0">SUM(AM6:AM49)</f>
        <v>0</v>
      </c>
      <c r="AN50" s="641">
        <f t="shared" si="0"/>
        <v>0</v>
      </c>
      <c r="AO50" s="641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X50"/>
  <sheetViews>
    <sheetView zoomScaleNormal="100" workbookViewId="0">
      <pane xSplit="4" ySplit="5" topLeftCell="BC6" activePane="bottomRight" state="frozen"/>
      <selection activeCell="R40" sqref="R40"/>
      <selection pane="topRight" activeCell="R40" sqref="R40"/>
      <selection pane="bottomLeft" activeCell="R40" sqref="R40"/>
      <selection pane="bottomRight" activeCell="BK17" sqref="BK17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1.5703125" customWidth="1"/>
    <col min="39" max="39" width="8.140625" style="641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A1" s="446"/>
      <c r="B1" s="446"/>
      <c r="C1" s="447" t="s">
        <v>300</v>
      </c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</row>
    <row r="2" spans="1:76" x14ac:dyDescent="0.25">
      <c r="A2" s="446"/>
      <c r="B2" s="446"/>
      <c r="C2" s="448" t="s">
        <v>561</v>
      </c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</row>
    <row r="3" spans="1:76" x14ac:dyDescent="0.25">
      <c r="A3" s="550" t="s">
        <v>0</v>
      </c>
      <c r="B3" s="550" t="s">
        <v>284</v>
      </c>
      <c r="C3" s="550" t="s">
        <v>2</v>
      </c>
      <c r="D3" s="550" t="s">
        <v>3</v>
      </c>
      <c r="E3" s="1084" t="s">
        <v>285</v>
      </c>
      <c r="F3" s="1084"/>
      <c r="G3" s="1084"/>
      <c r="H3" s="1084"/>
      <c r="I3" s="1084"/>
      <c r="J3" s="1084"/>
      <c r="K3" s="1084"/>
      <c r="L3" s="1084"/>
      <c r="M3" s="1084"/>
      <c r="N3" s="1084"/>
      <c r="O3" s="1084"/>
      <c r="P3" s="1084"/>
      <c r="Q3" s="1084"/>
      <c r="R3" s="1084"/>
      <c r="S3" s="1084"/>
      <c r="T3" s="55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449"/>
      <c r="E4" s="450" t="str">
        <f>'Công tổng'!E4</f>
        <v>BX-bao 3dm3</v>
      </c>
      <c r="F4" s="450" t="str">
        <f>'Công tổng'!F4</f>
        <v>BX-bao 5dm3</v>
      </c>
      <c r="G4" s="450" t="str">
        <f>'Công tổng'!G4</f>
        <v>BX-bao 10dm3</v>
      </c>
      <c r="H4" s="450" t="str">
        <f>'Công tổng'!H4</f>
        <v>BX-bao 20dm3</v>
      </c>
      <c r="I4" s="450" t="str">
        <f>'Công tổng'!I4</f>
        <v>BX-bao 40dm3</v>
      </c>
      <c r="J4" s="450" t="str">
        <f>'Công tổng'!J4</f>
        <v>BX-bao 50dm3</v>
      </c>
      <c r="K4" s="450" t="str">
        <f>'Công tổng'!K4</f>
        <v>BX-bao 100dm3</v>
      </c>
      <c r="L4" s="450" t="str">
        <f>'Công tổng'!L4</f>
        <v>BX-bao 0,2kg</v>
      </c>
      <c r="M4" s="450" t="str">
        <f>'Công tổng'!M4</f>
        <v>BX-bao 0,5 kg</v>
      </c>
      <c r="N4" s="450" t="str">
        <f>'Công tổng'!N4</f>
        <v>BX-bao 01kg</v>
      </c>
      <c r="O4" s="450" t="str">
        <f>'Công tổng'!O4</f>
        <v>BX-bao 10kg</v>
      </c>
      <c r="P4" s="450" t="str">
        <f>'Công tổng'!P4</f>
        <v>BX-bao 25kg</v>
      </c>
      <c r="Q4" s="450" t="str">
        <f>'Công tổng'!Q4</f>
        <v>BX-bao 35kg</v>
      </c>
      <c r="R4" s="450" t="str">
        <f>'Công tổng'!R4</f>
        <v>BX-bao 40kg</v>
      </c>
      <c r="S4" s="450" t="str">
        <f>'Công tổng'!S4</f>
        <v>BX-bao 50kg</v>
      </c>
      <c r="T4" s="450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642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643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10910</v>
      </c>
      <c r="AM7" s="419">
        <v>11590</v>
      </c>
      <c r="AN7" s="419"/>
      <c r="AO7" s="76">
        <v>2870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10910</v>
      </c>
      <c r="AM9" s="419">
        <v>11590</v>
      </c>
      <c r="AN9" s="419"/>
      <c r="AO9" s="76">
        <v>2870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6510</v>
      </c>
      <c r="AM10" s="419">
        <v>11590</v>
      </c>
      <c r="AN10" s="419"/>
      <c r="AO10" s="76">
        <v>14070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6510</v>
      </c>
      <c r="AM11" s="419">
        <v>11590</v>
      </c>
      <c r="AN11" s="419"/>
      <c r="AO11" s="76">
        <v>14070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6510</v>
      </c>
      <c r="AM12" s="419">
        <v>11590</v>
      </c>
      <c r="AN12" s="419"/>
      <c r="AO12" s="76">
        <v>14070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10910</v>
      </c>
      <c r="AM13" s="419">
        <v>11590</v>
      </c>
      <c r="AN13" s="419"/>
      <c r="AO13" s="76">
        <v>2870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10910</v>
      </c>
      <c r="AM14" s="419">
        <v>11590</v>
      </c>
      <c r="AN14" s="419"/>
      <c r="AO14" s="76">
        <v>2870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419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>
        <v>480</v>
      </c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s="551" customFormat="1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6510</v>
      </c>
      <c r="AM32" s="419">
        <v>11590</v>
      </c>
      <c r="AN32" s="419"/>
      <c r="AO32" s="76">
        <v>14070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108">
        <f>SUM(AL6:AL49)</f>
        <v>69680</v>
      </c>
      <c r="AM50" s="108">
        <f t="shared" ref="AM50:AO50" si="0">SUM(AM6:AM49)</f>
        <v>92720</v>
      </c>
      <c r="AN50" s="108">
        <f t="shared" si="0"/>
        <v>0</v>
      </c>
      <c r="AO50" s="108">
        <f t="shared" si="0"/>
        <v>67760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27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X50"/>
  <sheetViews>
    <sheetView zoomScaleNormal="100" workbookViewId="0">
      <pane xSplit="4" ySplit="5" topLeftCell="AJ39" activePane="bottomRight" state="frozen"/>
      <selection activeCell="R40" sqref="R40"/>
      <selection pane="topRight" activeCell="R40" sqref="R40"/>
      <selection pane="bottomLeft" activeCell="R40" sqref="R40"/>
      <selection pane="bottomRight" activeCell="AM50" sqref="AM50"/>
    </sheetView>
  </sheetViews>
  <sheetFormatPr defaultColWidth="9.140625" defaultRowHeight="15" x14ac:dyDescent="0.25"/>
  <cols>
    <col min="1" max="1" width="4.7109375" style="446" customWidth="1"/>
    <col min="2" max="2" width="7.85546875" style="446" customWidth="1"/>
    <col min="3" max="3" width="18.7109375" style="446" customWidth="1"/>
    <col min="4" max="4" width="12.140625" style="446" bestFit="1" customWidth="1"/>
    <col min="5" max="20" width="6.140625" style="446" customWidth="1"/>
    <col min="21" max="21" width="3.42578125" style="446" customWidth="1"/>
    <col min="22" max="24" width="6.140625" style="446" customWidth="1"/>
    <col min="25" max="25" width="7" style="446" bestFit="1" customWidth="1"/>
    <col min="26" max="26" width="5.140625" style="446" bestFit="1" customWidth="1"/>
    <col min="27" max="27" width="7" style="446" bestFit="1" customWidth="1"/>
    <col min="28" max="36" width="6.140625" style="446" customWidth="1"/>
    <col min="37" max="37" width="2.7109375" style="446" customWidth="1"/>
    <col min="38" max="38" width="9.140625" style="641" customWidth="1"/>
    <col min="39" max="39" width="10.5703125" style="446" customWidth="1"/>
    <col min="40" max="40" width="6.140625" style="446" customWidth="1"/>
    <col min="41" max="41" width="9.28515625" style="641" bestFit="1" customWidth="1"/>
    <col min="42" max="42" width="2.7109375" style="446" customWidth="1"/>
    <col min="43" max="48" width="6.42578125" style="452" customWidth="1"/>
    <col min="49" max="54" width="6.42578125" style="453" customWidth="1"/>
    <col min="55" max="55" width="6.42578125" style="454" customWidth="1"/>
    <col min="56" max="56" width="4.28515625" style="446" customWidth="1"/>
    <col min="57" max="60" width="6.42578125" style="446" customWidth="1"/>
    <col min="61" max="61" width="4" style="446" customWidth="1"/>
    <col min="62" max="71" width="6.42578125" style="446" customWidth="1"/>
    <col min="72" max="72" width="5" style="446" customWidth="1"/>
    <col min="73" max="75" width="6.42578125" style="446" customWidth="1"/>
    <col min="76" max="76" width="3.7109375" style="446" customWidth="1"/>
    <col min="77" max="16384" width="9.140625" style="446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550" t="s">
        <v>0</v>
      </c>
      <c r="B3" s="550" t="s">
        <v>284</v>
      </c>
      <c r="C3" s="550" t="s">
        <v>2</v>
      </c>
      <c r="D3" s="550" t="s">
        <v>3</v>
      </c>
      <c r="E3" s="1084" t="s">
        <v>285</v>
      </c>
      <c r="F3" s="1084"/>
      <c r="G3" s="1084"/>
      <c r="H3" s="1084"/>
      <c r="I3" s="1084"/>
      <c r="J3" s="1084"/>
      <c r="K3" s="1084"/>
      <c r="L3" s="1084"/>
      <c r="M3" s="1084"/>
      <c r="N3" s="1084"/>
      <c r="O3" s="1084"/>
      <c r="P3" s="1084"/>
      <c r="Q3" s="1084"/>
      <c r="R3" s="1084"/>
      <c r="S3" s="1084"/>
      <c r="T3" s="550"/>
      <c r="U3" s="455"/>
      <c r="V3" s="1084" t="s">
        <v>283</v>
      </c>
      <c r="W3" s="1084"/>
      <c r="X3" s="1084"/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455"/>
      <c r="AL3" s="1071" t="s">
        <v>295</v>
      </c>
      <c r="AM3" s="1073"/>
      <c r="AN3" s="548"/>
      <c r="AO3" s="644"/>
      <c r="AP3" s="457"/>
      <c r="AQ3" s="1081" t="s">
        <v>286</v>
      </c>
      <c r="AR3" s="1082"/>
      <c r="AS3" s="1082"/>
      <c r="AT3" s="1082"/>
      <c r="AU3" s="1082"/>
      <c r="AV3" s="1082"/>
      <c r="AW3" s="1082"/>
      <c r="AX3" s="1082"/>
      <c r="AY3" s="1082"/>
      <c r="AZ3" s="1082"/>
      <c r="BA3" s="1082"/>
      <c r="BB3" s="1082"/>
      <c r="BC3" s="1083"/>
      <c r="BD3" s="455"/>
      <c r="BE3" s="1071" t="s">
        <v>682</v>
      </c>
      <c r="BF3" s="1072"/>
      <c r="BG3" s="1072"/>
      <c r="BH3" s="1072"/>
      <c r="BI3" s="455"/>
      <c r="BJ3" s="1071" t="s">
        <v>287</v>
      </c>
      <c r="BK3" s="1072"/>
      <c r="BL3" s="1072"/>
      <c r="BM3" s="1072"/>
      <c r="BN3" s="1072"/>
      <c r="BO3" s="1072"/>
      <c r="BP3" s="1072"/>
      <c r="BQ3" s="1072"/>
      <c r="BR3" s="1072"/>
      <c r="BS3" s="1072"/>
      <c r="BT3" s="1072"/>
      <c r="BU3" s="1072"/>
      <c r="BV3" s="1073"/>
      <c r="BW3" s="549"/>
      <c r="BX3" s="455"/>
    </row>
    <row r="4" spans="1:76" s="465" customFormat="1" ht="80.25" x14ac:dyDescent="0.25">
      <c r="A4" s="49"/>
      <c r="B4" s="49"/>
      <c r="C4" s="49"/>
      <c r="D4" s="449"/>
      <c r="E4" s="450" t="str">
        <f>'Công tổng'!E4</f>
        <v>BX-bao 3dm3</v>
      </c>
      <c r="F4" s="450" t="str">
        <f>'Công tổng'!F4</f>
        <v>BX-bao 5dm3</v>
      </c>
      <c r="G4" s="450" t="str">
        <f>'Công tổng'!G4</f>
        <v>BX-bao 10dm3</v>
      </c>
      <c r="H4" s="450" t="str">
        <f>'Công tổng'!H4</f>
        <v>BX-bao 20dm3</v>
      </c>
      <c r="I4" s="450" t="str">
        <f>'Công tổng'!I4</f>
        <v>BX-bao 40dm3</v>
      </c>
      <c r="J4" s="450" t="str">
        <f>'Công tổng'!J4</f>
        <v>BX-bao 50dm3</v>
      </c>
      <c r="K4" s="450" t="str">
        <f>'Công tổng'!K4</f>
        <v>BX-bao 100dm3</v>
      </c>
      <c r="L4" s="450" t="str">
        <f>'Công tổng'!L4</f>
        <v>BX-bao 0,2kg</v>
      </c>
      <c r="M4" s="450" t="str">
        <f>'Công tổng'!M4</f>
        <v>BX-bao 0,5 kg</v>
      </c>
      <c r="N4" s="450" t="str">
        <f>'Công tổng'!N4</f>
        <v>BX-bao 01kg</v>
      </c>
      <c r="O4" s="450" t="str">
        <f>'Công tổng'!O4</f>
        <v>BX-bao 10kg</v>
      </c>
      <c r="P4" s="450" t="str">
        <f>'Công tổng'!P4</f>
        <v>BX-bao 25kg</v>
      </c>
      <c r="Q4" s="450" t="str">
        <f>'Công tổng'!Q4</f>
        <v>BX-bao 35kg</v>
      </c>
      <c r="R4" s="450" t="str">
        <f>'Công tổng'!R4</f>
        <v>BX-bao 40kg</v>
      </c>
      <c r="S4" s="450" t="str">
        <f>'Công tổng'!S4</f>
        <v>BX-bao 50kg</v>
      </c>
      <c r="T4" s="450" t="str">
        <f>'Công tổng'!T4</f>
        <v>BX-HÀNG LINH TINH</v>
      </c>
      <c r="U4" s="459"/>
      <c r="V4" s="450" t="str">
        <f>'Công tổng'!V4</f>
        <v>SX-bao 3dm3</v>
      </c>
      <c r="W4" s="450" t="str">
        <f>'Công tổng'!W4</f>
        <v>SX-bao 5dm3</v>
      </c>
      <c r="X4" s="450" t="str">
        <f>'Công tổng'!X4</f>
        <v>SX-bao 10dm3</v>
      </c>
      <c r="Y4" s="450" t="str">
        <f>'Công tổng'!Y4</f>
        <v>SX-bao 20dm3</v>
      </c>
      <c r="Z4" s="450" t="str">
        <f>'Công tổng'!Z4</f>
        <v>SX-bao 40dm3</v>
      </c>
      <c r="AA4" s="450" t="str">
        <f>'Công tổng'!AA4</f>
        <v>SX-bao 50dm3</v>
      </c>
      <c r="AB4" s="450" t="str">
        <f>'Công tổng'!AB4</f>
        <v>SX-bao 100dm3</v>
      </c>
      <c r="AC4" s="450" t="str">
        <f>'Công tổng'!AC4</f>
        <v>SX-bao 0,2kg</v>
      </c>
      <c r="AD4" s="450" t="str">
        <f>'Công tổng'!AD4</f>
        <v>SX-bao 0,5 kg</v>
      </c>
      <c r="AE4" s="450" t="str">
        <f>'Công tổng'!AE4</f>
        <v>SX-bao 01kg</v>
      </c>
      <c r="AF4" s="450" t="str">
        <f>'Công tổng'!AF4</f>
        <v>SX-bao 10kg</v>
      </c>
      <c r="AG4" s="450" t="str">
        <f>'Công tổng'!AG4</f>
        <v>SX-bao 25kg</v>
      </c>
      <c r="AH4" s="450" t="str">
        <f>'Công tổng'!AH4</f>
        <v>SX-bao 35kg</v>
      </c>
      <c r="AI4" s="450" t="str">
        <f>'Công tổng'!AI4</f>
        <v>SX-bao 40kg</v>
      </c>
      <c r="AJ4" s="450" t="str">
        <f>'Công tổng'!AJ4</f>
        <v>SX-bao 50kg</v>
      </c>
      <c r="AK4" s="459"/>
      <c r="AL4" s="642" t="str">
        <f>'Công tổng'!AL4</f>
        <v>Bùn Bình Hưng</v>
      </c>
      <c r="AM4" s="460" t="str">
        <f>'Công tổng'!AM4</f>
        <v>Bùn Bình Hưng Hòa</v>
      </c>
      <c r="AN4" s="460" t="str">
        <f>'Công tổng'!AN4</f>
        <v>Xử lý bùn Tân Hóa - Lò gốm</v>
      </c>
      <c r="AO4" s="642" t="str">
        <f>'Công tổng'!AO4</f>
        <v>Xử lý bùn Duy tu</v>
      </c>
      <c r="AP4" s="461"/>
      <c r="AQ4" s="462" t="str">
        <f>'Công tổng'!AQ4</f>
        <v>Lái xe xúc</v>
      </c>
      <c r="AR4" s="462" t="str">
        <f>'Công tổng'!AR4</f>
        <v>Lái xe múc (Xe Kobel)</v>
      </c>
      <c r="AS4" s="462" t="str">
        <f>'Công tổng'!AS4</f>
        <v>Lái xe ủi</v>
      </c>
      <c r="AT4" s="462" t="str">
        <f>'Công tổng'!AT4</f>
        <v>Lái xe Ben</v>
      </c>
      <c r="AU4" s="462" t="str">
        <f>'Công tổng'!AU4</f>
        <v>Lái xe nâng</v>
      </c>
      <c r="AV4" s="462" t="str">
        <f>'Công tổng'!AV4</f>
        <v>Lái xe máy xới</v>
      </c>
      <c r="AW4" s="463" t="str">
        <f>'Công tổng'!AW4</f>
        <v>Lái xe xúc</v>
      </c>
      <c r="AX4" s="463" t="str">
        <f>'Công tổng'!AX4</f>
        <v>Lái xe múc</v>
      </c>
      <c r="AY4" s="463" t="str">
        <f>'Công tổng'!AY4</f>
        <v>Lái xe ủi</v>
      </c>
      <c r="AZ4" s="463" t="str">
        <f>'Công tổng'!AZ4</f>
        <v>Lái xe Ben</v>
      </c>
      <c r="BA4" s="463" t="str">
        <f>'Công tổng'!BA4</f>
        <v>Lái xe nâng</v>
      </c>
      <c r="BB4" s="463" t="str">
        <f>'Công tổng'!BB4</f>
        <v>Lái xe máy xới</v>
      </c>
      <c r="BC4" s="464" t="str">
        <f>'Công tổng'!BC4</f>
        <v>Lái xe múc</v>
      </c>
      <c r="BD4" s="459"/>
      <c r="BE4" s="450" t="str">
        <f>'Công tổng'!BE4</f>
        <v>Đứng máy xay phân bò</v>
      </c>
      <c r="BF4" s="450" t="str">
        <f>'Công tổng'!BF4</f>
        <v>Đứng máy T-O</v>
      </c>
      <c r="BG4" s="450" t="str">
        <f>'Công tổng'!BG4</f>
        <v>Đứng máy xay T-MB</v>
      </c>
      <c r="BH4" s="450">
        <f>'Công tổng'!BH4</f>
        <v>0</v>
      </c>
      <c r="BI4" s="459"/>
      <c r="BJ4" s="450" t="str">
        <f>'Công tổng'!BJ4</f>
        <v>Làm vườn rau</v>
      </c>
      <c r="BK4" s="450" t="str">
        <f>'Công tổng'!BK4</f>
        <v>Việc linh tinh khác</v>
      </c>
      <c r="BL4" s="450" t="str">
        <f>'Công tổng'!BL4</f>
        <v>Lượm rác, đá (xử lý sơ bộ)</v>
      </c>
      <c r="BM4" s="450" t="str">
        <f>'Công tổng'!BM4</f>
        <v>Dọn vệ sinh</v>
      </c>
      <c r="BN4" s="450" t="str">
        <f>'Công tổng'!BN4</f>
        <v>Trồng cây</v>
      </c>
      <c r="BO4" s="450" t="str">
        <f>'Công tổng'!BO4</f>
        <v>Tưới bãi NVL, tưới đường, Tưới cây</v>
      </c>
      <c r="BP4" s="450" t="str">
        <f>'Công tổng'!BP4</f>
        <v>Bơm nước</v>
      </c>
      <c r="BQ4" s="450" t="str">
        <f>'Công tổng'!BQ4</f>
        <v>Xổ tro, phân bò</v>
      </c>
      <c r="BR4" s="450" t="str">
        <f>'Công tổng'!BR4</f>
        <v>kéo mở, đậy bạt</v>
      </c>
      <c r="BS4" s="450" t="str">
        <f>'Công tổng'!BS4</f>
        <v>Đóng date, dán nhãn</v>
      </c>
      <c r="BT4" s="450" t="str">
        <f>'Công tổng'!BT4</f>
        <v>làm kho</v>
      </c>
      <c r="BU4" s="450" t="str">
        <f>'Công tổng'!BU4</f>
        <v>Làm cỏ</v>
      </c>
      <c r="BV4" s="450" t="str">
        <f>'Công tổng'!BV4</f>
        <v>Sửa chữa +phụ sửa xe+ sửa máy khác</v>
      </c>
      <c r="BW4" s="450" t="str">
        <f>'Công tổng'!BW4</f>
        <v>Làm điện</v>
      </c>
      <c r="BX4" s="459"/>
    </row>
    <row r="5" spans="1:76" s="465" customFormat="1" ht="27" customHeight="1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59"/>
      <c r="V5" s="451"/>
      <c r="W5" s="451"/>
      <c r="X5" s="451"/>
      <c r="Y5" s="451"/>
      <c r="Z5" s="451"/>
      <c r="AA5" s="451"/>
      <c r="AB5" s="451"/>
      <c r="AC5" s="451"/>
      <c r="AD5" s="451"/>
      <c r="AE5" s="451"/>
      <c r="AF5" s="451"/>
      <c r="AG5" s="451"/>
      <c r="AH5" s="451"/>
      <c r="AI5" s="451"/>
      <c r="AJ5" s="451"/>
      <c r="AK5" s="459"/>
      <c r="AL5" s="643"/>
      <c r="AM5" s="451"/>
      <c r="AN5" s="466"/>
      <c r="AO5" s="645"/>
      <c r="AP5" s="461"/>
      <c r="AQ5" s="462"/>
      <c r="AR5" s="462"/>
      <c r="AS5" s="462"/>
      <c r="AT5" s="462"/>
      <c r="AU5" s="462"/>
      <c r="AV5" s="462"/>
      <c r="AW5" s="463"/>
      <c r="AX5" s="463"/>
      <c r="AY5" s="463"/>
      <c r="AZ5" s="463"/>
      <c r="BA5" s="463"/>
      <c r="BB5" s="463"/>
      <c r="BC5" s="464"/>
      <c r="BD5" s="459"/>
      <c r="BE5" s="451"/>
      <c r="BF5" s="451"/>
      <c r="BG5" s="451"/>
      <c r="BH5" s="451"/>
      <c r="BI5" s="459"/>
      <c r="BJ5" s="451"/>
      <c r="BK5" s="451"/>
      <c r="BL5" s="451"/>
      <c r="BM5" s="451"/>
      <c r="BN5" s="451"/>
      <c r="BO5" s="451"/>
      <c r="BP5" s="451"/>
      <c r="BQ5" s="451"/>
      <c r="BR5" s="451"/>
      <c r="BS5" s="451"/>
      <c r="BT5" s="451"/>
      <c r="BU5" s="451"/>
      <c r="BV5" s="451"/>
      <c r="BW5" s="451"/>
      <c r="BX5" s="459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25630</v>
      </c>
      <c r="AM7" s="891">
        <v>3060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891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25630</v>
      </c>
      <c r="AM9" s="891">
        <v>3060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26250</v>
      </c>
      <c r="AM10" s="891">
        <v>3060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25630</v>
      </c>
      <c r="AM11" s="891">
        <v>3060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26250</v>
      </c>
      <c r="AM12" s="891">
        <v>3060</v>
      </c>
      <c r="AN12" s="419"/>
      <c r="AO12" s="76"/>
      <c r="AP12" s="53"/>
      <c r="AQ12" s="330"/>
      <c r="AR12" s="334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25630</v>
      </c>
      <c r="AM13" s="891">
        <v>3060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25630</v>
      </c>
      <c r="AM14" s="891">
        <v>3060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26250</v>
      </c>
      <c r="AM16" s="718">
        <v>3060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customFormat="1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customFormat="1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customFormat="1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customFormat="1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customFormat="1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customFormat="1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customFormat="1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26250</v>
      </c>
      <c r="AM32" s="718">
        <v>3060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M32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641">
        <f>SUM(AL6:AL49)</f>
        <v>233150</v>
      </c>
      <c r="AM50" s="641">
        <f t="shared" ref="AM50:AO50" si="0">SUM(AM6:AM49)</f>
        <v>27540</v>
      </c>
      <c r="AN50" s="641">
        <f t="shared" si="0"/>
        <v>0</v>
      </c>
      <c r="AO50" s="641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X50"/>
  <sheetViews>
    <sheetView zoomScale="106" zoomScaleNormal="106" workbookViewId="0">
      <pane xSplit="4" ySplit="5" topLeftCell="AF42" activePane="bottomRight" state="frozen"/>
      <selection activeCell="R40" sqref="R40"/>
      <selection pane="topRight" activeCell="R40" sqref="R40"/>
      <selection pane="bottomLeft" activeCell="R40" sqref="R40"/>
      <selection pane="bottomRight" activeCell="AO7" sqref="AO7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5703125" style="30" customWidth="1"/>
    <col min="39" max="39" width="10.425781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13200</v>
      </c>
      <c r="AM7" s="419">
        <v>1660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24110</v>
      </c>
      <c r="AM9" s="419">
        <v>10680</v>
      </c>
      <c r="AN9" s="419"/>
      <c r="AO9" s="76">
        <v>1410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21830</v>
      </c>
      <c r="AM10" s="419">
        <v>10680</v>
      </c>
      <c r="AN10" s="419"/>
      <c r="AO10" s="76">
        <v>1410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24110</v>
      </c>
      <c r="AM11" s="419">
        <v>10680</v>
      </c>
      <c r="AN11" s="419"/>
      <c r="AO11" s="76">
        <v>1410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21830</v>
      </c>
      <c r="AM12" s="419">
        <v>10680</v>
      </c>
      <c r="AN12" s="419"/>
      <c r="AO12" s="76">
        <v>1410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24110</v>
      </c>
      <c r="AM13" s="419">
        <v>10680</v>
      </c>
      <c r="AN13" s="419"/>
      <c r="AO13" s="76">
        <v>1410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24110</v>
      </c>
      <c r="AM14" s="419">
        <v>10680</v>
      </c>
      <c r="AN14" s="419"/>
      <c r="AO14" s="76">
        <v>1410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21830</v>
      </c>
      <c r="AM16" s="419">
        <v>10680</v>
      </c>
      <c r="AN16" s="419"/>
      <c r="AO16" s="76">
        <v>1410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21830</v>
      </c>
      <c r="AM32" s="419">
        <v>10680</v>
      </c>
      <c r="AN32" s="419"/>
      <c r="AO32" s="76">
        <v>1410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76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896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897"/>
      <c r="AL49" s="117"/>
      <c r="AM49" s="117"/>
      <c r="AN49" s="117"/>
      <c r="AO49" s="898"/>
      <c r="AP49" s="897"/>
      <c r="AQ49" s="899"/>
      <c r="AR49" s="899"/>
      <c r="AS49" s="899"/>
      <c r="AT49" s="899"/>
      <c r="AU49" s="899"/>
      <c r="AV49" s="899"/>
      <c r="AW49" s="900"/>
      <c r="AX49" s="900"/>
      <c r="AY49" s="900"/>
      <c r="AZ49" s="900"/>
      <c r="BA49" s="900"/>
      <c r="BB49" s="900"/>
      <c r="BC49" s="901"/>
      <c r="BD49" s="897"/>
      <c r="BE49" s="895"/>
      <c r="BF49" s="895"/>
      <c r="BG49" s="895"/>
      <c r="BH49" s="895"/>
      <c r="BI49" s="897"/>
      <c r="BJ49" s="895"/>
      <c r="BK49" s="895"/>
      <c r="BL49" s="895"/>
      <c r="BM49" s="895"/>
      <c r="BN49" s="895"/>
      <c r="BO49" s="895"/>
      <c r="BP49" s="895"/>
      <c r="BQ49" s="895"/>
      <c r="BR49" s="902"/>
      <c r="BS49" s="895"/>
      <c r="BT49" s="895"/>
      <c r="BU49" s="895"/>
      <c r="BV49" s="895"/>
      <c r="BW49" s="895"/>
      <c r="BX49" s="897"/>
    </row>
    <row r="50" spans="1:76" x14ac:dyDescent="0.25">
      <c r="AL50" s="30">
        <f>SUM(AL6:AL49)</f>
        <v>196960</v>
      </c>
      <c r="AM50" s="30">
        <f t="shared" ref="AM50:AO50" si="0">SUM(AM6:AM49)</f>
        <v>87100</v>
      </c>
      <c r="AN50" s="30">
        <f t="shared" si="0"/>
        <v>0</v>
      </c>
      <c r="AO50" s="30">
        <f t="shared" si="0"/>
        <v>11280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X50"/>
  <sheetViews>
    <sheetView zoomScale="98" zoomScaleNormal="98" workbookViewId="0">
      <pane xSplit="4" ySplit="5" topLeftCell="AG39" activePane="bottomRight" state="frozen"/>
      <selection activeCell="R40" sqref="R40"/>
      <selection pane="topRight" activeCell="R40" sqref="R40"/>
      <selection pane="bottomLeft" activeCell="R40" sqref="R40"/>
      <selection pane="bottomRight" activeCell="AO50" sqref="AO50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" customWidth="1"/>
    <col min="40" max="40" width="6.140625" customWidth="1"/>
    <col min="41" max="41" width="10.425781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7980</v>
      </c>
      <c r="AM7" s="419"/>
      <c r="AN7" s="419"/>
      <c r="AO7" s="76">
        <v>9950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7980</v>
      </c>
      <c r="AM9" s="419"/>
      <c r="AN9" s="419"/>
      <c r="AO9" s="76">
        <v>9950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29110</v>
      </c>
      <c r="AM10" s="419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7980</v>
      </c>
      <c r="AM11" s="419"/>
      <c r="AN11" s="419"/>
      <c r="AO11" s="76">
        <v>9950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29110</v>
      </c>
      <c r="AM12" s="419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7980</v>
      </c>
      <c r="AM13" s="419"/>
      <c r="AN13" s="419"/>
      <c r="AO13" s="76">
        <v>9950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29110</v>
      </c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29110</v>
      </c>
      <c r="AM16" s="419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29110</v>
      </c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177470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39800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X50"/>
  <sheetViews>
    <sheetView zoomScale="106" zoomScaleNormal="106" workbookViewId="0">
      <pane xSplit="4" ySplit="5" topLeftCell="AH48" activePane="bottomRight" state="frozen"/>
      <selection activeCell="R40" sqref="R40"/>
      <selection pane="topRight" activeCell="R40" sqref="R40"/>
      <selection pane="bottomLeft" activeCell="R40" sqref="R40"/>
      <selection pane="bottomRight" activeCell="AL50" sqref="AL50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21610</v>
      </c>
      <c r="AM7" s="419">
        <v>1270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21610</v>
      </c>
      <c r="AM9" s="419">
        <v>1270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10150</v>
      </c>
      <c r="AM10" s="419">
        <v>1270</v>
      </c>
      <c r="AN10" s="419"/>
      <c r="AO10" s="76">
        <v>14410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21610</v>
      </c>
      <c r="AM11" s="419">
        <v>1270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4730</v>
      </c>
      <c r="AM12" s="419"/>
      <c r="AN12" s="419"/>
      <c r="AO12" s="76">
        <v>7380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21610</v>
      </c>
      <c r="AM13" s="419">
        <v>1270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21610</v>
      </c>
      <c r="AM14" s="419">
        <v>1270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10150</v>
      </c>
      <c r="AM16" s="419">
        <v>1270</v>
      </c>
      <c r="AN16" s="419"/>
      <c r="AO16" s="76">
        <v>14410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10150</v>
      </c>
      <c r="AM32" s="718">
        <v>1270</v>
      </c>
      <c r="AN32" s="419"/>
      <c r="AO32" s="76">
        <v>14410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143230</v>
      </c>
      <c r="AM50" s="30">
        <f t="shared" ref="AM50:AO50" si="0">SUM(AM6:AM49)</f>
        <v>10160</v>
      </c>
      <c r="AN50" s="30">
        <f t="shared" si="0"/>
        <v>0</v>
      </c>
      <c r="AO50" s="30">
        <f t="shared" si="0"/>
        <v>50610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X52"/>
  <sheetViews>
    <sheetView zoomScale="98" zoomScaleNormal="98" workbookViewId="0">
      <pane xSplit="4" ySplit="5" topLeftCell="AK32" activePane="bottomRight" state="frozen"/>
      <selection activeCell="R40" sqref="R40"/>
      <selection pane="topRight" activeCell="R40" sqref="R40"/>
      <selection pane="bottomLeft" activeCell="R40" sqref="R40"/>
      <selection pane="bottomRight" activeCell="AO48" sqref="AO48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425781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16690</v>
      </c>
      <c r="AM7" s="419">
        <v>3700</v>
      </c>
      <c r="AN7" s="419"/>
      <c r="AO7" s="76">
        <v>3430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16690</v>
      </c>
      <c r="AM9" s="419">
        <v>3700</v>
      </c>
      <c r="AN9" s="419"/>
      <c r="AO9" s="76">
        <v>3430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16690</v>
      </c>
      <c r="AM10" s="419">
        <v>3700</v>
      </c>
      <c r="AN10" s="419"/>
      <c r="AO10" s="76">
        <v>3430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16690</v>
      </c>
      <c r="AM11" s="419">
        <v>3700</v>
      </c>
      <c r="AN11" s="419"/>
      <c r="AO11" s="76">
        <v>3430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16690</v>
      </c>
      <c r="AM12" s="419">
        <v>3700</v>
      </c>
      <c r="AN12" s="419"/>
      <c r="AO12" s="76">
        <v>3430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16690</v>
      </c>
      <c r="AM13" s="419">
        <v>3700</v>
      </c>
      <c r="AN13" s="419"/>
      <c r="AO13" s="76">
        <v>3430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16690</v>
      </c>
      <c r="AM14" s="419">
        <v>3700</v>
      </c>
      <c r="AN14" s="419"/>
      <c r="AO14" s="76">
        <v>3430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16690</v>
      </c>
      <c r="AM16" s="419">
        <v>3700</v>
      </c>
      <c r="AN16" s="419"/>
      <c r="AO16" s="76">
        <v>3430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16690</v>
      </c>
      <c r="AM32" s="419">
        <v>3700</v>
      </c>
      <c r="AN32" s="419"/>
      <c r="AO32" s="76">
        <v>3430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150210</v>
      </c>
      <c r="AM50" s="30">
        <f t="shared" ref="AM50:AO50" si="0">SUM(AM6:AM49)</f>
        <v>33300</v>
      </c>
      <c r="AN50" s="30">
        <f t="shared" si="0"/>
        <v>0</v>
      </c>
      <c r="AO50" s="30">
        <f t="shared" si="0"/>
        <v>30870</v>
      </c>
    </row>
    <row r="52" spans="1:41" x14ac:dyDescent="0.25">
      <c r="AM52" s="30"/>
      <c r="AN52" s="30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X50"/>
  <sheetViews>
    <sheetView zoomScaleNormal="100" workbookViewId="0">
      <pane xSplit="4" ySplit="5" topLeftCell="AH36" activePane="bottomRight" state="frozen"/>
      <selection activeCell="R40" sqref="R40"/>
      <selection pane="topRight" activeCell="R40" sqref="R40"/>
      <selection pane="bottomLeft" activeCell="R40" sqref="R40"/>
      <selection pane="bottomRight" activeCell="AO48" sqref="AO48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28515625" bestFit="1" customWidth="1"/>
    <col min="39" max="39" width="10.285156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4490</v>
      </c>
      <c r="AM7" s="419">
        <v>12790</v>
      </c>
      <c r="AN7" s="419"/>
      <c r="AO7" s="76">
        <v>12790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4490</v>
      </c>
      <c r="AM9" s="419">
        <v>12790</v>
      </c>
      <c r="AN9" s="419"/>
      <c r="AO9" s="76">
        <v>12790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18010</v>
      </c>
      <c r="AM10" s="419">
        <v>13070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419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18010</v>
      </c>
      <c r="AM12" s="419">
        <v>13070</v>
      </c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4490</v>
      </c>
      <c r="AM13" s="419">
        <v>12790</v>
      </c>
      <c r="AN13" s="419"/>
      <c r="AO13" s="76">
        <v>12790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4490</v>
      </c>
      <c r="AM14" s="419">
        <v>12790</v>
      </c>
      <c r="AN14" s="419"/>
      <c r="AO14" s="76">
        <v>12790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18010</v>
      </c>
      <c r="AM16" s="419">
        <v>13070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18010</v>
      </c>
      <c r="AM32" s="718">
        <v>13070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108">
        <f>SUM(AL6:AL49)</f>
        <v>90000</v>
      </c>
      <c r="AM50" s="108">
        <f t="shared" ref="AM50:AO50" si="0">SUM(AM6:AM49)</f>
        <v>103440</v>
      </c>
      <c r="AN50" s="108">
        <f t="shared" si="0"/>
        <v>0</v>
      </c>
      <c r="AO50" s="108">
        <f t="shared" si="0"/>
        <v>51160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X50"/>
  <sheetViews>
    <sheetView zoomScale="96" zoomScaleNormal="96" workbookViewId="0">
      <pane xSplit="4" ySplit="5" topLeftCell="AJ33" activePane="bottomRight" state="frozen"/>
      <selection activeCell="R40" sqref="R40"/>
      <selection pane="topRight" activeCell="R40" sqref="R40"/>
      <selection pane="bottomLeft" activeCell="R40" sqref="R40"/>
      <selection pane="bottomRight" activeCell="AO51" sqref="AO51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8554687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69" width="6.42578125" customWidth="1"/>
    <col min="70" max="70" width="7.5703125" customWidth="1"/>
    <col min="71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25210</v>
      </c>
      <c r="AM7" s="419">
        <v>2150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25210</v>
      </c>
      <c r="AM9" s="419">
        <v>2150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14920</v>
      </c>
      <c r="AM10" s="419">
        <v>3280</v>
      </c>
      <c r="AN10" s="419"/>
      <c r="AO10" s="76">
        <v>8050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25210</v>
      </c>
      <c r="AM11" s="419">
        <v>2150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14920</v>
      </c>
      <c r="AM12" s="419">
        <v>3280</v>
      </c>
      <c r="AN12" s="419"/>
      <c r="AO12" s="76">
        <v>8050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25210</v>
      </c>
      <c r="AM13" s="419">
        <v>2150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25210</v>
      </c>
      <c r="AM14" s="419">
        <v>2150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14920</v>
      </c>
      <c r="AM16" s="419">
        <v>3280</v>
      </c>
      <c r="AN16" s="419"/>
      <c r="AO16" s="76">
        <v>8050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14920</v>
      </c>
      <c r="AM32" s="718">
        <v>3280</v>
      </c>
      <c r="AN32" s="419"/>
      <c r="AO32" s="76">
        <v>8050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185730</v>
      </c>
      <c r="AM50" s="30">
        <f t="shared" ref="AM50:AO50" si="0">SUM(AM6:AM49)</f>
        <v>23870</v>
      </c>
      <c r="AN50" s="30">
        <f t="shared" si="0"/>
        <v>0</v>
      </c>
      <c r="AO50" s="30">
        <f t="shared" si="0"/>
        <v>32200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X50"/>
  <sheetViews>
    <sheetView zoomScale="98" zoomScaleNormal="98" workbookViewId="0">
      <pane xSplit="4" ySplit="5" topLeftCell="AH38" activePane="bottomRight" state="frozen"/>
      <selection activeCell="R40" sqref="R40"/>
      <selection pane="topRight" activeCell="R40" sqref="R40"/>
      <selection pane="bottomLeft" activeCell="R40" sqref="R40"/>
      <selection pane="bottomRight" activeCell="AL50" sqref="AL5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" customWidth="1"/>
    <col min="40" max="40" width="6.85546875" customWidth="1"/>
    <col min="41" max="41" width="9.425781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14770</v>
      </c>
      <c r="AM7" s="419">
        <v>8920</v>
      </c>
      <c r="AN7" s="419"/>
      <c r="AO7" s="76">
        <v>6870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14770</v>
      </c>
      <c r="AM9" s="419">
        <v>8920</v>
      </c>
      <c r="AN9" s="419"/>
      <c r="AO9" s="76">
        <v>6870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27930</v>
      </c>
      <c r="AM10" s="419">
        <v>4690</v>
      </c>
      <c r="AN10" s="419"/>
      <c r="AO10" s="76">
        <v>3200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14770</v>
      </c>
      <c r="AM11" s="419">
        <v>8920</v>
      </c>
      <c r="AN11" s="419"/>
      <c r="AO11" s="76">
        <v>6870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27930</v>
      </c>
      <c r="AM12" s="419">
        <v>4690</v>
      </c>
      <c r="AN12" s="419"/>
      <c r="AO12" s="76">
        <v>3200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14770</v>
      </c>
      <c r="AM13" s="419">
        <v>8920</v>
      </c>
      <c r="AN13" s="419"/>
      <c r="AO13" s="76">
        <v>6870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14770</v>
      </c>
      <c r="AM14" s="419">
        <v>8920</v>
      </c>
      <c r="AN14" s="419"/>
      <c r="AO14" s="76">
        <v>6870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25350</v>
      </c>
      <c r="AM16" s="419">
        <v>210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27930</v>
      </c>
      <c r="AM32" s="718">
        <v>4690</v>
      </c>
      <c r="AN32" s="419"/>
      <c r="AO32" s="76">
        <v>3200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182990</v>
      </c>
      <c r="AM50" s="30">
        <f>SUM(AM6:AM49)</f>
        <v>58880</v>
      </c>
      <c r="AN50" s="30">
        <f t="shared" ref="AN50:AO50" si="0">SUM(AN6:AN49)</f>
        <v>0</v>
      </c>
      <c r="AO50" s="30">
        <f t="shared" si="0"/>
        <v>43950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X50"/>
  <sheetViews>
    <sheetView zoomScaleNormal="100" workbookViewId="0">
      <pane xSplit="4" ySplit="5" topLeftCell="AG38" activePane="bottomRight" state="frozen"/>
      <selection activeCell="R40" sqref="R40"/>
      <selection pane="topRight" activeCell="R40" sqref="R40"/>
      <selection pane="bottomLeft" activeCell="R40" sqref="R40"/>
      <selection pane="bottomRight" activeCell="AO47" sqref="AO47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7.85546875" customWidth="1"/>
    <col min="40" max="40" width="8.28515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43750</v>
      </c>
      <c r="AM7" s="891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891"/>
      <c r="AN8" s="421"/>
      <c r="AO8" s="419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43750</v>
      </c>
      <c r="AM9" s="891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2810</v>
      </c>
      <c r="AM10" s="891"/>
      <c r="AN10" s="421"/>
      <c r="AO10" s="419">
        <v>26080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43750</v>
      </c>
      <c r="AM11" s="891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2810</v>
      </c>
      <c r="AM12" s="891"/>
      <c r="AN12" s="421"/>
      <c r="AO12" s="419">
        <v>26080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43750</v>
      </c>
      <c r="AM13" s="891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43750</v>
      </c>
      <c r="AM14" s="891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891"/>
      <c r="AN15" s="421"/>
      <c r="AO15" s="419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2810</v>
      </c>
      <c r="AM16" s="891"/>
      <c r="AN16" s="421"/>
      <c r="AO16" s="419">
        <v>26080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2810</v>
      </c>
      <c r="AM32" s="891"/>
      <c r="AN32" s="421"/>
      <c r="AO32" s="419">
        <v>26080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229990</v>
      </c>
      <c r="AM50" s="30">
        <f t="shared" ref="AM50" si="0">SUM(AM6:AM49)</f>
        <v>0</v>
      </c>
      <c r="AN50" s="30">
        <f t="shared" ref="AN50" si="1">SUM(AN6:AN49)</f>
        <v>0</v>
      </c>
      <c r="AO50" s="30">
        <f t="shared" ref="AO50" si="2">SUM(AO6:AO49)</f>
        <v>104320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X50"/>
  <sheetViews>
    <sheetView zoomScaleNormal="100" workbookViewId="0">
      <pane xSplit="4" ySplit="5" topLeftCell="AG42" activePane="bottomRight" state="frozen"/>
      <selection activeCell="R40" sqref="R40"/>
      <selection pane="topRight" activeCell="R40" sqref="R40"/>
      <selection pane="bottomLeft" activeCell="R40" sqref="R40"/>
      <selection pane="bottomRight" activeCell="AL50" sqref="AL5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" bestFit="1" customWidth="1"/>
    <col min="40" max="40" width="7.14062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3160</v>
      </c>
      <c r="AM7" s="419">
        <v>4390</v>
      </c>
      <c r="AN7" s="419"/>
      <c r="AO7" s="76">
        <v>20370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3160</v>
      </c>
      <c r="AM9" s="419">
        <v>4390</v>
      </c>
      <c r="AN9" s="419"/>
      <c r="AO9" s="76">
        <v>20370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32130</v>
      </c>
      <c r="AM10" s="419">
        <v>4550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3160</v>
      </c>
      <c r="AM11" s="419">
        <v>4390</v>
      </c>
      <c r="AN11" s="419"/>
      <c r="AO11" s="76">
        <v>20370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32130</v>
      </c>
      <c r="AM12" s="419">
        <v>4550</v>
      </c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3160</v>
      </c>
      <c r="AM13" s="419">
        <v>4390</v>
      </c>
      <c r="AN13" s="419"/>
      <c r="AO13" s="76">
        <v>20370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3160</v>
      </c>
      <c r="AM14" s="419">
        <v>4390</v>
      </c>
      <c r="AN14" s="419"/>
      <c r="AO14" s="76">
        <v>20370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32130</v>
      </c>
      <c r="AM16" s="419">
        <v>4550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32130</v>
      </c>
      <c r="AM32" s="718">
        <v>4550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144320</v>
      </c>
      <c r="AM50" s="30">
        <f t="shared" ref="AM50:AO50" si="0">SUM(AM6:AM49)</f>
        <v>40150</v>
      </c>
      <c r="AN50" s="30">
        <f t="shared" si="0"/>
        <v>0</v>
      </c>
      <c r="AO50" s="30">
        <f t="shared" si="0"/>
        <v>101850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X50"/>
  <sheetViews>
    <sheetView zoomScaleNormal="100" workbookViewId="0">
      <pane xSplit="4" ySplit="5" topLeftCell="AI39" activePane="bottomRight" state="frozen"/>
      <selection activeCell="R40" sqref="R40"/>
      <selection pane="topRight" activeCell="R40" sqref="R40"/>
      <selection pane="bottomLeft" activeCell="R40" sqref="R40"/>
      <selection pane="bottomRight" activeCell="AM48" sqref="AM48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12" style="57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576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577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22940</v>
      </c>
      <c r="AM7" s="419">
        <v>1310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22940</v>
      </c>
      <c r="AM9" s="419">
        <v>1310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22620</v>
      </c>
      <c r="AM10" s="419">
        <v>1310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22940</v>
      </c>
      <c r="AM11" s="419">
        <v>1310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10590</v>
      </c>
      <c r="AM12" s="419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22940</v>
      </c>
      <c r="AM13" s="419">
        <v>1310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22940</v>
      </c>
      <c r="AM14" s="419">
        <v>1310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22620</v>
      </c>
      <c r="AM16" s="419">
        <v>1310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22620</v>
      </c>
      <c r="AM32" s="718">
        <v>1310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193150</v>
      </c>
      <c r="AM50" s="30">
        <f t="shared" ref="AM50:AO50" si="0">SUM(AM6:AM49)</f>
        <v>10480</v>
      </c>
      <c r="AN50" s="30">
        <f t="shared" si="0"/>
        <v>0</v>
      </c>
      <c r="AO50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0"/>
    <pageSetUpPr fitToPage="1"/>
  </sheetPr>
  <dimension ref="A1:BX50"/>
  <sheetViews>
    <sheetView zoomScaleNormal="100" workbookViewId="0">
      <pane xSplit="4" ySplit="5" topLeftCell="AI36" activePane="bottomRight" state="frozen"/>
      <selection activeCell="R40" sqref="R40"/>
      <selection pane="topRight" activeCell="R40" sqref="R40"/>
      <selection pane="bottomLeft" activeCell="R40" sqref="R40"/>
      <selection pane="bottomRight" activeCell="AL50" sqref="AL50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29" width="6.140625" customWidth="1"/>
    <col min="30" max="30" width="7.5703125" customWidth="1"/>
    <col min="31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15720</v>
      </c>
      <c r="AM7" s="419">
        <v>5350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15720</v>
      </c>
      <c r="AM9" s="419">
        <v>5350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13330</v>
      </c>
      <c r="AM10" s="419">
        <v>5350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15720</v>
      </c>
      <c r="AM11" s="419">
        <v>5350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13330</v>
      </c>
      <c r="AM12" s="419">
        <v>5350</v>
      </c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ht="15.75" customHeight="1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15720</v>
      </c>
      <c r="AM13" s="419">
        <v>5350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15720</v>
      </c>
      <c r="AM14" s="419">
        <v>5350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13330</v>
      </c>
      <c r="AM16" s="419">
        <v>5350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13330</v>
      </c>
      <c r="AM32" s="419">
        <v>5350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131920</v>
      </c>
      <c r="AM50" s="30">
        <f t="shared" ref="AM50:AO50" si="0">SUM(AM6:AM49)</f>
        <v>48150</v>
      </c>
      <c r="AN50" s="30">
        <f t="shared" si="0"/>
        <v>0</v>
      </c>
      <c r="AO50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X50"/>
  <sheetViews>
    <sheetView zoomScaleNormal="100" workbookViewId="0">
      <pane xSplit="4" ySplit="5" topLeftCell="AK42" activePane="bottomRight" state="frozen"/>
      <selection activeCell="R40" sqref="R40"/>
      <selection pane="topRight" activeCell="R40" sqref="R40"/>
      <selection pane="bottomLeft" activeCell="R40" sqref="R40"/>
      <selection pane="bottomRight" activeCell="AM50" sqref="AM5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.140625" customWidth="1"/>
    <col min="40" max="40" width="6.140625" customWidth="1"/>
    <col min="41" max="41" width="9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19020</v>
      </c>
      <c r="AM7" s="718">
        <v>20180</v>
      </c>
      <c r="AN7" s="419"/>
      <c r="AO7" s="76">
        <v>2350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18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19020</v>
      </c>
      <c r="AM9" s="718">
        <v>20180</v>
      </c>
      <c r="AN9" s="419"/>
      <c r="AO9" s="76">
        <v>2350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12910</v>
      </c>
      <c r="AM10" s="718">
        <v>20180</v>
      </c>
      <c r="AN10" s="419"/>
      <c r="AO10" s="76">
        <v>2350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19020</v>
      </c>
      <c r="AM11" s="718">
        <v>20180</v>
      </c>
      <c r="AN11" s="419"/>
      <c r="AO11" s="76">
        <v>2350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12910</v>
      </c>
      <c r="AM12" s="718">
        <v>20180</v>
      </c>
      <c r="AN12" s="419"/>
      <c r="AO12" s="76">
        <v>2350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19020</v>
      </c>
      <c r="AM13" s="718">
        <v>20180</v>
      </c>
      <c r="AN13" s="419"/>
      <c r="AO13" s="76">
        <v>2350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13460</v>
      </c>
      <c r="AM14" s="718">
        <v>20180</v>
      </c>
      <c r="AN14" s="419"/>
      <c r="AO14" s="76">
        <v>2350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18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12910</v>
      </c>
      <c r="AM16" s="718">
        <v>20180</v>
      </c>
      <c r="AN16" s="419"/>
      <c r="AO16" s="76">
        <v>2350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12910</v>
      </c>
      <c r="AM32" s="718">
        <v>20180</v>
      </c>
      <c r="AN32" s="419"/>
      <c r="AO32" s="76">
        <v>2350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141180</v>
      </c>
      <c r="AM50" s="30">
        <f t="shared" ref="AM50:AO50" si="0">SUM(AM6:AM49)</f>
        <v>181620</v>
      </c>
      <c r="AN50" s="30">
        <f t="shared" si="0"/>
        <v>0</v>
      </c>
      <c r="AO50" s="30">
        <f t="shared" si="0"/>
        <v>21150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X50"/>
  <sheetViews>
    <sheetView zoomScale="110" zoomScaleNormal="110" workbookViewId="0">
      <pane xSplit="4" ySplit="5" topLeftCell="AI42" activePane="bottomRight" state="frozen"/>
      <selection activeCell="R40" sqref="R40"/>
      <selection pane="topRight" activeCell="R40" sqref="R40"/>
      <selection pane="bottomLeft" activeCell="R40" sqref="R40"/>
      <selection pane="bottomRight" activeCell="AL50" sqref="AL5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7.7109375" bestFit="1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23000</v>
      </c>
      <c r="AM7" s="419">
        <v>4130</v>
      </c>
      <c r="AN7" s="419"/>
      <c r="AO7" s="76">
        <v>7170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23000</v>
      </c>
      <c r="AM9" s="419">
        <v>4130</v>
      </c>
      <c r="AN9" s="419"/>
      <c r="AO9" s="76">
        <v>7170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1700</v>
      </c>
      <c r="AM10" s="419">
        <v>11960</v>
      </c>
      <c r="AN10" s="419"/>
      <c r="AO10" s="76">
        <v>10750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23000</v>
      </c>
      <c r="AM11" s="419">
        <v>4130</v>
      </c>
      <c r="AN11" s="419"/>
      <c r="AO11" s="76">
        <v>7170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1700</v>
      </c>
      <c r="AM12" s="419">
        <v>11960</v>
      </c>
      <c r="AN12" s="419"/>
      <c r="AO12" s="76">
        <v>10750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23000</v>
      </c>
      <c r="AM13" s="419">
        <v>4130</v>
      </c>
      <c r="AN13" s="419"/>
      <c r="AO13" s="76">
        <v>7170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15690</v>
      </c>
      <c r="AM14" s="419">
        <v>4130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903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1700</v>
      </c>
      <c r="AM16" s="419">
        <v>11960</v>
      </c>
      <c r="AN16" s="419"/>
      <c r="AO16" s="76">
        <v>10750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1700</v>
      </c>
      <c r="AM32" s="718">
        <v>11960</v>
      </c>
      <c r="AN32" s="419"/>
      <c r="AO32" s="76">
        <v>10750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114490</v>
      </c>
      <c r="AM50" s="30">
        <f t="shared" ref="AM50:AO50" si="0">SUM(AM6:AM49)</f>
        <v>68490</v>
      </c>
      <c r="AN50" s="30">
        <f t="shared" si="0"/>
        <v>0</v>
      </c>
      <c r="AO50" s="30">
        <f t="shared" si="0"/>
        <v>71680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X50"/>
  <sheetViews>
    <sheetView zoomScaleNormal="100" workbookViewId="0">
      <pane xSplit="4" ySplit="5" topLeftCell="AI42" activePane="bottomRight" state="frozen"/>
      <selection activeCell="R40" sqref="R40"/>
      <selection pane="topRight" activeCell="R40" sqref="R40"/>
      <selection pane="bottomLeft" activeCell="R40" sqref="R40"/>
      <selection pane="bottomRight" activeCell="AL50" sqref="AL5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.85546875" customWidth="1"/>
    <col min="40" max="40" width="6.14062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5690</v>
      </c>
      <c r="AM7" s="419">
        <v>8960</v>
      </c>
      <c r="AN7" s="419"/>
      <c r="AO7" s="76">
        <v>8780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5690</v>
      </c>
      <c r="AM9" s="419">
        <v>8960</v>
      </c>
      <c r="AN9" s="419"/>
      <c r="AO9" s="76">
        <v>8780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29340</v>
      </c>
      <c r="AM10" s="419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5690</v>
      </c>
      <c r="AM11" s="419">
        <v>8960</v>
      </c>
      <c r="AN11" s="419"/>
      <c r="AO11" s="76">
        <v>8780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29340</v>
      </c>
      <c r="AM12" s="419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5690</v>
      </c>
      <c r="AM13" s="419">
        <v>8960</v>
      </c>
      <c r="AN13" s="419"/>
      <c r="AO13" s="76">
        <v>8780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5690</v>
      </c>
      <c r="AM14" s="419">
        <v>8960</v>
      </c>
      <c r="AN14" s="419"/>
      <c r="AO14" s="76">
        <v>8780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29340</v>
      </c>
      <c r="AM16" s="419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29340</v>
      </c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145810</v>
      </c>
      <c r="AM50" s="30">
        <f t="shared" ref="AM50:AO50" si="0">SUM(AM6:AM49)</f>
        <v>44800</v>
      </c>
      <c r="AN50" s="30">
        <f t="shared" si="0"/>
        <v>0</v>
      </c>
      <c r="AO50" s="30">
        <f t="shared" si="0"/>
        <v>43900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X50"/>
  <sheetViews>
    <sheetView zoomScaleNormal="100" workbookViewId="0">
      <pane xSplit="4" ySplit="5" topLeftCell="BC9" activePane="bottomRight" state="frozen"/>
      <selection activeCell="R40" sqref="R40"/>
      <selection pane="topRight" activeCell="R40" sqref="R40"/>
      <selection pane="bottomLeft" activeCell="R40" sqref="R40"/>
      <selection pane="bottomRight" activeCell="BT33" sqref="BT33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34880</v>
      </c>
      <c r="AM7" s="419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18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34880</v>
      </c>
      <c r="AM9" s="419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718"/>
      <c r="AN10" s="419"/>
      <c r="AO10" s="76">
        <v>16820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>
        <v>60</v>
      </c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34880</v>
      </c>
      <c r="AM11" s="419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718"/>
      <c r="AN12" s="419"/>
      <c r="AO12" s="76">
        <v>16820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>
        <v>60</v>
      </c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34880</v>
      </c>
      <c r="AM13" s="419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34880</v>
      </c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18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718"/>
      <c r="AN16" s="419"/>
      <c r="AO16" s="76">
        <v>16820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>
        <v>60</v>
      </c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718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8"/>
      <c r="AN32" s="419"/>
      <c r="AO32" s="76">
        <v>16820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>
        <v>60</v>
      </c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174400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67280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X50"/>
  <sheetViews>
    <sheetView zoomScale="98" zoomScaleNormal="98" workbookViewId="0">
      <pane xSplit="4" ySplit="5" topLeftCell="BC6" activePane="bottomRight" state="frozen"/>
      <selection activeCell="R40" sqref="R40"/>
      <selection pane="topRight" activeCell="R40" sqref="R40"/>
      <selection pane="bottomLeft" activeCell="R40" sqref="R40"/>
      <selection pane="bottomRight" activeCell="BO12" sqref="BO12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140625" customWidth="1"/>
    <col min="40" max="40" width="6.140625" customWidth="1"/>
    <col min="41" max="41" width="10.425781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7310</v>
      </c>
      <c r="AM7" s="419"/>
      <c r="AN7" s="419"/>
      <c r="AO7" s="76">
        <v>11600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>
        <v>75</v>
      </c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18880</v>
      </c>
      <c r="AM9" s="419"/>
      <c r="AN9" s="419"/>
      <c r="AO9" s="76">
        <v>11600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>
        <v>60</v>
      </c>
      <c r="BL9" s="418"/>
      <c r="BM9" s="418"/>
      <c r="BN9" s="418"/>
      <c r="BO9" s="634"/>
      <c r="BP9" s="418"/>
      <c r="BQ9" s="418"/>
      <c r="BR9" s="414">
        <v>75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22840</v>
      </c>
      <c r="AM10" s="419"/>
      <c r="AN10" s="419"/>
      <c r="AO10" s="76">
        <v>11600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>
        <v>60</v>
      </c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18880</v>
      </c>
      <c r="AM11" s="419"/>
      <c r="AN11" s="419"/>
      <c r="AO11" s="76">
        <v>11600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>
        <v>60</v>
      </c>
      <c r="BL11" s="418"/>
      <c r="BM11" s="418"/>
      <c r="BN11" s="418"/>
      <c r="BO11" s="418"/>
      <c r="BP11" s="418"/>
      <c r="BQ11" s="418"/>
      <c r="BR11" s="414">
        <v>75</v>
      </c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419"/>
      <c r="AN12" s="419"/>
      <c r="AO12" s="76">
        <v>11600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>
        <v>480</v>
      </c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18880</v>
      </c>
      <c r="AM13" s="419"/>
      <c r="AN13" s="419"/>
      <c r="AO13" s="76">
        <v>11600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>
        <v>60</v>
      </c>
      <c r="BL13" s="418"/>
      <c r="BM13" s="418"/>
      <c r="BN13" s="418"/>
      <c r="BO13" s="418"/>
      <c r="BP13" s="418"/>
      <c r="BQ13" s="418"/>
      <c r="BR13" s="414">
        <v>75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18880</v>
      </c>
      <c r="AM14" s="419"/>
      <c r="AN14" s="419"/>
      <c r="AO14" s="76">
        <v>11600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>
        <v>60</v>
      </c>
      <c r="BL14" s="418"/>
      <c r="BM14" s="418"/>
      <c r="BN14" s="418"/>
      <c r="BO14" s="418"/>
      <c r="BP14" s="418"/>
      <c r="BQ14" s="418"/>
      <c r="BR14" s="414">
        <v>75</v>
      </c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22840</v>
      </c>
      <c r="AM16" s="419"/>
      <c r="AN16" s="419"/>
      <c r="AO16" s="76">
        <v>11600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>
        <v>60</v>
      </c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22840</v>
      </c>
      <c r="AM32" s="718"/>
      <c r="AN32" s="419"/>
      <c r="AO32" s="76">
        <v>11600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>
        <v>60</v>
      </c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151350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104400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X50"/>
  <sheetViews>
    <sheetView zoomScaleNormal="100" workbookViewId="0">
      <pane xSplit="4" ySplit="5" topLeftCell="E36" activePane="bottomRight" state="frozen"/>
      <selection activeCell="R40" sqref="R40"/>
      <selection pane="topRight" activeCell="R40" sqref="R40"/>
      <selection pane="bottomLeft" activeCell="R40" sqref="R40"/>
      <selection pane="bottomRight" activeCell="BX48" sqref="E6:BX48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85546875" customWidth="1"/>
    <col min="40" max="40" width="6.140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718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18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718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718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718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718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718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718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18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718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8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X50"/>
  <sheetViews>
    <sheetView zoomScaleNormal="100" workbookViewId="0">
      <pane xSplit="4" ySplit="5" topLeftCell="AH30" activePane="bottomRight" state="frozen"/>
      <selection activeCell="R40" sqref="R40"/>
      <selection pane="topRight" activeCell="R40" sqref="R40"/>
      <selection pane="bottomLeft" activeCell="R40" sqref="R40"/>
      <selection pane="bottomRight" activeCell="AL50" sqref="AL50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28515625" style="30" bestFit="1" customWidth="1"/>
    <col min="39" max="39" width="9.28515625" customWidth="1"/>
    <col min="40" max="40" width="6.140625" customWidth="1"/>
    <col min="41" max="41" width="10.710937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23030</v>
      </c>
      <c r="AM7" s="419"/>
      <c r="AN7" s="419"/>
      <c r="AO7" s="76">
        <v>10240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23030</v>
      </c>
      <c r="AM9" s="419"/>
      <c r="AN9" s="419"/>
      <c r="AO9" s="76">
        <v>10240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23030</v>
      </c>
      <c r="AM10" s="419"/>
      <c r="AN10" s="419"/>
      <c r="AO10" s="76">
        <v>10240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23030</v>
      </c>
      <c r="AM11" s="419"/>
      <c r="AN11" s="419"/>
      <c r="AO11" s="76">
        <v>10240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23030</v>
      </c>
      <c r="AM12" s="419"/>
      <c r="AN12" s="419"/>
      <c r="AO12" s="76">
        <v>10240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23030</v>
      </c>
      <c r="AM13" s="419"/>
      <c r="AN13" s="419"/>
      <c r="AO13" s="76">
        <v>10240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23030</v>
      </c>
      <c r="AM14" s="419"/>
      <c r="AN14" s="419"/>
      <c r="AO14" s="76">
        <v>10240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23030</v>
      </c>
      <c r="AM16" s="419"/>
      <c r="AN16" s="419"/>
      <c r="AO16" s="76">
        <v>10240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23030</v>
      </c>
      <c r="AM32" s="718"/>
      <c r="AN32" s="419"/>
      <c r="AO32" s="76">
        <v>10240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207270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92160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X50"/>
  <sheetViews>
    <sheetView zoomScaleNormal="100" workbookViewId="0">
      <pane xSplit="4" ySplit="5" topLeftCell="AJ33" activePane="bottomRight" state="frozen"/>
      <selection activeCell="R40" sqref="R40"/>
      <selection pane="topRight" activeCell="R40" sqref="R40"/>
      <selection pane="bottomLeft" activeCell="R40" sqref="R40"/>
      <selection pane="bottomRight" activeCell="AO50" sqref="AO5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1.140625" style="30" customWidth="1"/>
    <col min="39" max="39" width="8.42578125" customWidth="1"/>
    <col min="40" max="40" width="6.140625" customWidth="1"/>
    <col min="41" max="41" width="10.28515625" style="74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5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75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6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31420</v>
      </c>
      <c r="AM7" s="419">
        <v>5180</v>
      </c>
      <c r="AN7" s="419"/>
      <c r="AO7" s="76">
        <v>6030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31420</v>
      </c>
      <c r="AM9" s="419">
        <v>5180</v>
      </c>
      <c r="AN9" s="419"/>
      <c r="AO9" s="76">
        <v>6030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31420</v>
      </c>
      <c r="AM10" s="419">
        <v>5180</v>
      </c>
      <c r="AN10" s="419"/>
      <c r="AO10" s="76">
        <v>6030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12940</v>
      </c>
      <c r="AM11" s="419">
        <v>1570</v>
      </c>
      <c r="AN11" s="419"/>
      <c r="AO11" s="76">
        <v>6030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12940</v>
      </c>
      <c r="AM12" s="419">
        <v>1570</v>
      </c>
      <c r="AN12" s="419"/>
      <c r="AO12" s="76">
        <v>6030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12940</v>
      </c>
      <c r="AM13" s="419">
        <v>1570</v>
      </c>
      <c r="AN13" s="419"/>
      <c r="AO13" s="76">
        <v>6030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12940</v>
      </c>
      <c r="AM14" s="419">
        <v>1570</v>
      </c>
      <c r="AN14" s="419"/>
      <c r="AO14" s="76">
        <v>6030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31420</v>
      </c>
      <c r="AM16" s="419">
        <v>5180</v>
      </c>
      <c r="AN16" s="419"/>
      <c r="AO16" s="76">
        <v>6030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8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31420</v>
      </c>
      <c r="AM32" s="718">
        <v>5180</v>
      </c>
      <c r="AN32" s="419"/>
      <c r="AO32" s="76">
        <v>6030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208860</v>
      </c>
      <c r="AM50" s="30">
        <f t="shared" ref="AM50:AO50" si="0">SUM(AM6:AM49)</f>
        <v>32180</v>
      </c>
      <c r="AN50" s="30">
        <f t="shared" si="0"/>
        <v>0</v>
      </c>
      <c r="AO50" s="30">
        <f t="shared" si="0"/>
        <v>54270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X50"/>
  <sheetViews>
    <sheetView zoomScale="106" zoomScaleNormal="106" workbookViewId="0">
      <pane xSplit="4" ySplit="5" topLeftCell="E33" activePane="bottomRight" state="frozen"/>
      <selection activeCell="R40" sqref="R40"/>
      <selection pane="topRight" activeCell="R40" sqref="R40"/>
      <selection pane="bottomLeft" activeCell="R40" sqref="R40"/>
      <selection pane="bottomRight" activeCell="AN46" sqref="AN46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14" width="6.140625" customWidth="1"/>
    <col min="15" max="15" width="7.28515625" customWidth="1"/>
    <col min="16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11.7109375" customWidth="1"/>
    <col min="40" max="40" width="6.140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16950</v>
      </c>
      <c r="AM7" s="718">
        <v>11950</v>
      </c>
      <c r="AN7" s="419"/>
      <c r="AO7" s="76">
        <v>7540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18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16950</v>
      </c>
      <c r="AM9" s="718">
        <v>11950</v>
      </c>
      <c r="AN9" s="419"/>
      <c r="AO9" s="76">
        <v>7540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16950</v>
      </c>
      <c r="AM10" s="718">
        <v>11950</v>
      </c>
      <c r="AN10" s="419"/>
      <c r="AO10" s="76">
        <v>7540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15370</v>
      </c>
      <c r="AM11" s="718">
        <v>11950</v>
      </c>
      <c r="AN11" s="419"/>
      <c r="AO11" s="76">
        <v>7540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15370</v>
      </c>
      <c r="AM12" s="718">
        <v>11950</v>
      </c>
      <c r="AN12" s="419"/>
      <c r="AO12" s="76">
        <v>7540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15370</v>
      </c>
      <c r="AM13" s="718">
        <v>11950</v>
      </c>
      <c r="AN13" s="419"/>
      <c r="AO13" s="76">
        <v>7540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15370</v>
      </c>
      <c r="AM14" s="718">
        <v>11950</v>
      </c>
      <c r="AN14" s="419"/>
      <c r="AO14" s="76">
        <v>7540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18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16950</v>
      </c>
      <c r="AM16" s="718">
        <v>11950</v>
      </c>
      <c r="AN16" s="419"/>
      <c r="AO16" s="76">
        <v>7540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718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8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16950</v>
      </c>
      <c r="AM32" s="718">
        <v>11950</v>
      </c>
      <c r="AN32" s="419"/>
      <c r="AO32" s="76">
        <v>7540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146230</v>
      </c>
      <c r="AM50" s="30">
        <f t="shared" ref="AM50:AO50" si="0">SUM(AM6:AM49)</f>
        <v>107550</v>
      </c>
      <c r="AN50" s="30">
        <f t="shared" si="0"/>
        <v>0</v>
      </c>
      <c r="AO50" s="30">
        <f t="shared" si="0"/>
        <v>67860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M27"/>
  <sheetViews>
    <sheetView workbookViewId="0">
      <pane xSplit="3" ySplit="1" topLeftCell="D2" activePane="bottomRight" state="frozen"/>
      <selection activeCell="R40" sqref="R40"/>
      <selection pane="topRight" activeCell="R40" sqref="R40"/>
      <selection pane="bottomLeft" activeCell="R40" sqref="R40"/>
      <selection pane="bottomRight" activeCell="T11" sqref="T11"/>
    </sheetView>
  </sheetViews>
  <sheetFormatPr defaultRowHeight="15" x14ac:dyDescent="0.25"/>
  <cols>
    <col min="1" max="1" width="4.42578125" customWidth="1"/>
    <col min="2" max="2" width="9.85546875" customWidth="1"/>
    <col min="3" max="3" width="14.42578125" customWidth="1"/>
    <col min="4" max="6" width="4.42578125" customWidth="1"/>
    <col min="7" max="7" width="5" bestFit="1" customWidth="1"/>
    <col min="8" max="18" width="4.42578125" customWidth="1"/>
    <col min="19" max="19" width="5.7109375" customWidth="1"/>
    <col min="20" max="20" width="5.85546875" customWidth="1"/>
    <col min="21" max="36" width="5.7109375" customWidth="1"/>
    <col min="37" max="37" width="3.7109375" customWidth="1"/>
    <col min="39" max="39" width="15.85546875" customWidth="1"/>
  </cols>
  <sheetData>
    <row r="1" spans="1:39" s="58" customFormat="1" ht="87" customHeight="1" x14ac:dyDescent="0.2">
      <c r="A1" s="62" t="s">
        <v>309</v>
      </c>
      <c r="B1" s="62" t="s">
        <v>307</v>
      </c>
      <c r="C1" s="62" t="s">
        <v>308</v>
      </c>
      <c r="D1" s="59" t="s">
        <v>262</v>
      </c>
      <c r="E1" s="59" t="s">
        <v>263</v>
      </c>
      <c r="F1" s="59" t="s">
        <v>264</v>
      </c>
      <c r="G1" s="59" t="s">
        <v>265</v>
      </c>
      <c r="H1" s="59" t="s">
        <v>266</v>
      </c>
      <c r="I1" s="59" t="s">
        <v>267</v>
      </c>
      <c r="J1" s="59" t="s">
        <v>268</v>
      </c>
      <c r="K1" s="59" t="s">
        <v>296</v>
      </c>
      <c r="L1" s="59" t="s">
        <v>297</v>
      </c>
      <c r="M1" s="59" t="s">
        <v>298</v>
      </c>
      <c r="N1" s="59" t="s">
        <v>299</v>
      </c>
      <c r="O1" s="59" t="s">
        <v>269</v>
      </c>
      <c r="P1" s="59" t="s">
        <v>282</v>
      </c>
      <c r="Q1" s="59" t="s">
        <v>281</v>
      </c>
      <c r="R1" s="59" t="s">
        <v>280</v>
      </c>
      <c r="S1" s="59" t="s">
        <v>317</v>
      </c>
      <c r="T1" s="57" t="s">
        <v>306</v>
      </c>
      <c r="U1" s="59" t="s">
        <v>262</v>
      </c>
      <c r="V1" s="59" t="s">
        <v>263</v>
      </c>
      <c r="W1" s="59" t="s">
        <v>264</v>
      </c>
      <c r="X1" s="59" t="s">
        <v>265</v>
      </c>
      <c r="Y1" s="59" t="s">
        <v>266</v>
      </c>
      <c r="Z1" s="59" t="s">
        <v>267</v>
      </c>
      <c r="AA1" s="59" t="s">
        <v>268</v>
      </c>
      <c r="AB1" s="59" t="s">
        <v>296</v>
      </c>
      <c r="AC1" s="59" t="s">
        <v>297</v>
      </c>
      <c r="AD1" s="59" t="s">
        <v>298</v>
      </c>
      <c r="AE1" s="59" t="s">
        <v>299</v>
      </c>
      <c r="AF1" s="59" t="s">
        <v>269</v>
      </c>
      <c r="AG1" s="59" t="s">
        <v>282</v>
      </c>
      <c r="AH1" s="59" t="s">
        <v>281</v>
      </c>
      <c r="AI1" s="59" t="s">
        <v>280</v>
      </c>
      <c r="AJ1" s="59" t="s">
        <v>317</v>
      </c>
      <c r="AK1" s="60"/>
      <c r="AM1" s="73" t="s">
        <v>316</v>
      </c>
    </row>
    <row r="2" spans="1:39" x14ac:dyDescent="0.25">
      <c r="A2" s="35">
        <v>1</v>
      </c>
      <c r="B2" s="35">
        <v>1</v>
      </c>
      <c r="C2" s="35" t="s">
        <v>304</v>
      </c>
      <c r="D2" s="3"/>
      <c r="E2" s="3"/>
      <c r="F2" s="3"/>
      <c r="G2" s="3">
        <v>30</v>
      </c>
      <c r="H2" s="3"/>
      <c r="I2" s="3">
        <v>220</v>
      </c>
      <c r="J2" s="3"/>
      <c r="K2" s="3"/>
      <c r="L2" s="3"/>
      <c r="M2" s="3"/>
      <c r="N2" s="3">
        <v>100</v>
      </c>
      <c r="O2" s="3"/>
      <c r="P2" s="418"/>
      <c r="Q2" s="418">
        <v>25</v>
      </c>
      <c r="R2" s="418"/>
      <c r="S2" s="418"/>
      <c r="T2" s="56">
        <v>6</v>
      </c>
      <c r="U2" s="22">
        <f>D2/$T2</f>
        <v>0</v>
      </c>
      <c r="V2" s="22">
        <f t="shared" ref="V2:AJ15" si="0">E2/$T2</f>
        <v>0</v>
      </c>
      <c r="W2" s="22">
        <f t="shared" si="0"/>
        <v>0</v>
      </c>
      <c r="X2" s="22">
        <f t="shared" si="0"/>
        <v>5</v>
      </c>
      <c r="Y2" s="22">
        <f t="shared" si="0"/>
        <v>0</v>
      </c>
      <c r="Z2" s="22">
        <f t="shared" si="0"/>
        <v>36.666666666666664</v>
      </c>
      <c r="AA2" s="22">
        <f t="shared" si="0"/>
        <v>0</v>
      </c>
      <c r="AB2" s="22">
        <f t="shared" si="0"/>
        <v>0</v>
      </c>
      <c r="AC2" s="22">
        <f t="shared" si="0"/>
        <v>0</v>
      </c>
      <c r="AD2" s="22">
        <f t="shared" si="0"/>
        <v>0</v>
      </c>
      <c r="AE2" s="22">
        <f t="shared" si="0"/>
        <v>16.666666666666668</v>
      </c>
      <c r="AF2" s="22">
        <f t="shared" si="0"/>
        <v>0</v>
      </c>
      <c r="AG2" s="22">
        <f t="shared" si="0"/>
        <v>0</v>
      </c>
      <c r="AH2" s="22">
        <f t="shared" si="0"/>
        <v>4.166666666666667</v>
      </c>
      <c r="AI2" s="22">
        <f t="shared" si="0"/>
        <v>0</v>
      </c>
      <c r="AJ2" s="22">
        <f t="shared" si="0"/>
        <v>0</v>
      </c>
      <c r="AK2" s="61"/>
      <c r="AM2" s="35" t="s">
        <v>304</v>
      </c>
    </row>
    <row r="3" spans="1:39" x14ac:dyDescent="0.25">
      <c r="A3" s="35">
        <v>2</v>
      </c>
      <c r="B3" s="35">
        <v>2</v>
      </c>
      <c r="C3" s="421" t="s">
        <v>720</v>
      </c>
      <c r="D3" s="3"/>
      <c r="E3" s="3"/>
      <c r="F3" s="3"/>
      <c r="G3" s="3">
        <v>100</v>
      </c>
      <c r="H3" s="3"/>
      <c r="I3" s="418">
        <v>92</v>
      </c>
      <c r="J3" s="3"/>
      <c r="K3" s="3"/>
      <c r="L3" s="3"/>
      <c r="M3" s="3"/>
      <c r="N3" s="3"/>
      <c r="O3" s="418"/>
      <c r="P3" s="3"/>
      <c r="Q3" s="3"/>
      <c r="R3" s="3"/>
      <c r="S3" s="3">
        <v>50</v>
      </c>
      <c r="T3" s="56">
        <v>6</v>
      </c>
      <c r="U3" s="22">
        <f t="shared" ref="U3:U15" si="1">D3/$T3</f>
        <v>0</v>
      </c>
      <c r="V3" s="22">
        <f t="shared" si="0"/>
        <v>0</v>
      </c>
      <c r="W3" s="22">
        <f t="shared" si="0"/>
        <v>0</v>
      </c>
      <c r="X3" s="22">
        <f t="shared" si="0"/>
        <v>16.666666666666668</v>
      </c>
      <c r="Y3" s="22">
        <f t="shared" si="0"/>
        <v>0</v>
      </c>
      <c r="Z3" s="22">
        <f t="shared" ref="Z3:AA6" si="2">I3/$T3</f>
        <v>15.333333333333334</v>
      </c>
      <c r="AA3" s="22">
        <f t="shared" si="2"/>
        <v>0</v>
      </c>
      <c r="AB3" s="22">
        <f t="shared" si="0"/>
        <v>0</v>
      </c>
      <c r="AC3" s="22">
        <f t="shared" si="0"/>
        <v>0</v>
      </c>
      <c r="AD3" s="22">
        <f t="shared" si="0"/>
        <v>0</v>
      </c>
      <c r="AE3" s="22">
        <f t="shared" si="0"/>
        <v>0</v>
      </c>
      <c r="AF3" s="22">
        <f t="shared" si="0"/>
        <v>0</v>
      </c>
      <c r="AG3" s="22">
        <f t="shared" si="0"/>
        <v>0</v>
      </c>
      <c r="AH3" s="22">
        <f t="shared" si="0"/>
        <v>0</v>
      </c>
      <c r="AI3" s="22">
        <f t="shared" si="0"/>
        <v>0</v>
      </c>
      <c r="AJ3" s="22">
        <f t="shared" si="0"/>
        <v>8.3333333333333339</v>
      </c>
      <c r="AK3" s="61"/>
      <c r="AM3" s="35" t="s">
        <v>720</v>
      </c>
    </row>
    <row r="4" spans="1:39" s="64" customFormat="1" x14ac:dyDescent="0.25">
      <c r="A4" s="63">
        <v>3</v>
      </c>
      <c r="B4" s="35">
        <v>3</v>
      </c>
      <c r="C4" s="35" t="s">
        <v>303</v>
      </c>
      <c r="D4" s="3">
        <v>160</v>
      </c>
      <c r="E4" s="3">
        <v>100</v>
      </c>
      <c r="F4" s="3">
        <v>200</v>
      </c>
      <c r="G4" s="3">
        <f>24+10+13</f>
        <v>47</v>
      </c>
      <c r="H4" s="3"/>
      <c r="I4" s="418">
        <f>57+13</f>
        <v>70</v>
      </c>
      <c r="J4" s="3"/>
      <c r="K4" s="3"/>
      <c r="L4" s="3">
        <v>165</v>
      </c>
      <c r="M4" s="3">
        <v>55</v>
      </c>
      <c r="N4" s="3"/>
      <c r="O4" s="418"/>
      <c r="P4" s="3"/>
      <c r="Q4" s="3">
        <v>5</v>
      </c>
      <c r="R4" s="3"/>
      <c r="S4" s="3"/>
      <c r="T4" s="56">
        <v>4</v>
      </c>
      <c r="U4" s="22">
        <f t="shared" si="1"/>
        <v>40</v>
      </c>
      <c r="V4" s="22">
        <f t="shared" si="0"/>
        <v>25</v>
      </c>
      <c r="W4" s="22">
        <f t="shared" si="0"/>
        <v>50</v>
      </c>
      <c r="X4" s="22">
        <f t="shared" si="0"/>
        <v>11.75</v>
      </c>
      <c r="Y4" s="22">
        <f t="shared" si="0"/>
        <v>0</v>
      </c>
      <c r="Z4" s="22">
        <f t="shared" si="2"/>
        <v>17.5</v>
      </c>
      <c r="AA4" s="22">
        <f t="shared" si="2"/>
        <v>0</v>
      </c>
      <c r="AB4" s="22">
        <f t="shared" si="0"/>
        <v>0</v>
      </c>
      <c r="AC4" s="22">
        <f t="shared" si="0"/>
        <v>41.25</v>
      </c>
      <c r="AD4" s="22">
        <f t="shared" si="0"/>
        <v>13.75</v>
      </c>
      <c r="AE4" s="22">
        <f t="shared" si="0"/>
        <v>0</v>
      </c>
      <c r="AF4" s="22">
        <f t="shared" si="0"/>
        <v>0</v>
      </c>
      <c r="AG4" s="22">
        <f t="shared" si="0"/>
        <v>0</v>
      </c>
      <c r="AH4" s="22">
        <f t="shared" si="0"/>
        <v>1.25</v>
      </c>
      <c r="AI4" s="22">
        <f t="shared" si="0"/>
        <v>0</v>
      </c>
      <c r="AJ4" s="22">
        <f t="shared" si="0"/>
        <v>0</v>
      </c>
      <c r="AK4" s="61"/>
      <c r="AM4" s="63" t="s">
        <v>303</v>
      </c>
    </row>
    <row r="5" spans="1:39" x14ac:dyDescent="0.25">
      <c r="A5" s="35">
        <v>4</v>
      </c>
      <c r="B5" s="35">
        <v>4</v>
      </c>
      <c r="C5" s="35" t="s">
        <v>720</v>
      </c>
      <c r="D5" s="3"/>
      <c r="E5" s="3"/>
      <c r="F5" s="3"/>
      <c r="G5" s="3"/>
      <c r="H5" s="3"/>
      <c r="I5" s="418">
        <v>100</v>
      </c>
      <c r="J5" s="418"/>
      <c r="K5" s="418"/>
      <c r="L5" s="418"/>
      <c r="M5" s="418"/>
      <c r="N5" s="418"/>
      <c r="O5" s="418"/>
      <c r="P5" s="418"/>
      <c r="Q5" s="418"/>
      <c r="R5" s="418"/>
      <c r="S5" s="418"/>
      <c r="T5" s="56">
        <v>6</v>
      </c>
      <c r="U5" s="22">
        <f t="shared" si="1"/>
        <v>0</v>
      </c>
      <c r="V5" s="22">
        <f t="shared" si="0"/>
        <v>0</v>
      </c>
      <c r="W5" s="22">
        <f t="shared" si="0"/>
        <v>0</v>
      </c>
      <c r="X5" s="22">
        <f t="shared" si="0"/>
        <v>0</v>
      </c>
      <c r="Y5" s="22">
        <f t="shared" si="0"/>
        <v>0</v>
      </c>
      <c r="Z5" s="22">
        <f t="shared" si="2"/>
        <v>16.666666666666668</v>
      </c>
      <c r="AA5" s="22">
        <f t="shared" si="2"/>
        <v>0</v>
      </c>
      <c r="AB5" s="22">
        <f t="shared" si="0"/>
        <v>0</v>
      </c>
      <c r="AC5" s="22">
        <f t="shared" si="0"/>
        <v>0</v>
      </c>
      <c r="AD5" s="22">
        <f t="shared" si="0"/>
        <v>0</v>
      </c>
      <c r="AE5" s="22">
        <f t="shared" si="0"/>
        <v>0</v>
      </c>
      <c r="AF5" s="22">
        <f t="shared" si="0"/>
        <v>0</v>
      </c>
      <c r="AG5" s="22">
        <f t="shared" si="0"/>
        <v>0</v>
      </c>
      <c r="AH5" s="22">
        <f t="shared" si="0"/>
        <v>0</v>
      </c>
      <c r="AI5" s="22">
        <f t="shared" si="0"/>
        <v>0</v>
      </c>
      <c r="AJ5" s="22">
        <f t="shared" si="0"/>
        <v>0</v>
      </c>
      <c r="AK5" s="61"/>
      <c r="AM5" s="35" t="s">
        <v>305</v>
      </c>
    </row>
    <row r="6" spans="1:39" x14ac:dyDescent="0.25">
      <c r="A6" s="35">
        <v>5</v>
      </c>
      <c r="B6" s="35">
        <v>5</v>
      </c>
      <c r="C6" s="35" t="s">
        <v>304</v>
      </c>
      <c r="D6" s="3"/>
      <c r="E6" s="3">
        <v>240</v>
      </c>
      <c r="F6" s="3">
        <v>22</v>
      </c>
      <c r="G6" s="3">
        <f>122+48</f>
        <v>170</v>
      </c>
      <c r="H6" s="3"/>
      <c r="I6" s="418">
        <f>48+22</f>
        <v>70</v>
      </c>
      <c r="J6" s="418"/>
      <c r="K6" s="418"/>
      <c r="L6" s="418"/>
      <c r="M6" s="418"/>
      <c r="N6" s="418"/>
      <c r="O6" s="418"/>
      <c r="P6" s="418"/>
      <c r="Q6" s="418"/>
      <c r="R6" s="418"/>
      <c r="S6" s="418"/>
      <c r="T6" s="56">
        <v>6</v>
      </c>
      <c r="U6" s="22">
        <f>D6/$T6</f>
        <v>0</v>
      </c>
      <c r="V6" s="22">
        <f t="shared" si="0"/>
        <v>40</v>
      </c>
      <c r="W6" s="22">
        <f t="shared" si="0"/>
        <v>3.6666666666666665</v>
      </c>
      <c r="X6" s="22">
        <f t="shared" si="0"/>
        <v>28.333333333333332</v>
      </c>
      <c r="Y6" s="22">
        <f t="shared" si="0"/>
        <v>0</v>
      </c>
      <c r="Z6" s="22">
        <f t="shared" si="2"/>
        <v>11.666666666666666</v>
      </c>
      <c r="AA6" s="22">
        <f t="shared" si="2"/>
        <v>0</v>
      </c>
      <c r="AB6" s="22">
        <f t="shared" si="0"/>
        <v>0</v>
      </c>
      <c r="AC6" s="22">
        <f t="shared" si="0"/>
        <v>0</v>
      </c>
      <c r="AD6" s="22">
        <f t="shared" si="0"/>
        <v>0</v>
      </c>
      <c r="AE6" s="22">
        <f t="shared" si="0"/>
        <v>0</v>
      </c>
      <c r="AF6" s="22">
        <f t="shared" si="0"/>
        <v>0</v>
      </c>
      <c r="AG6" s="22">
        <f t="shared" si="0"/>
        <v>0</v>
      </c>
      <c r="AH6" s="22">
        <f t="shared" si="0"/>
        <v>0</v>
      </c>
      <c r="AI6" s="22">
        <f t="shared" si="0"/>
        <v>0</v>
      </c>
      <c r="AJ6" s="22">
        <f t="shared" si="0"/>
        <v>0</v>
      </c>
      <c r="AK6" s="61"/>
      <c r="AM6" s="35" t="s">
        <v>721</v>
      </c>
    </row>
    <row r="7" spans="1:39" x14ac:dyDescent="0.25">
      <c r="A7" s="35">
        <v>6</v>
      </c>
      <c r="B7" s="35">
        <v>6</v>
      </c>
      <c r="C7" s="35" t="s">
        <v>304</v>
      </c>
      <c r="D7" s="3"/>
      <c r="E7" s="3"/>
      <c r="F7" s="3"/>
      <c r="G7" s="3">
        <v>58</v>
      </c>
      <c r="H7" s="3"/>
      <c r="I7" s="3">
        <v>120</v>
      </c>
      <c r="J7" s="418"/>
      <c r="K7" s="418"/>
      <c r="L7" s="418"/>
      <c r="M7" s="418"/>
      <c r="N7" s="418"/>
      <c r="O7" s="418"/>
      <c r="P7" s="418"/>
      <c r="Q7" s="418"/>
      <c r="R7" s="418"/>
      <c r="S7" s="418"/>
      <c r="T7" s="56">
        <v>7</v>
      </c>
      <c r="U7" s="22">
        <f t="shared" si="1"/>
        <v>0</v>
      </c>
      <c r="V7" s="22">
        <f t="shared" si="0"/>
        <v>0</v>
      </c>
      <c r="W7" s="22">
        <f t="shared" si="0"/>
        <v>0</v>
      </c>
      <c r="X7" s="22">
        <f t="shared" si="0"/>
        <v>8.2857142857142865</v>
      </c>
      <c r="Y7" s="22">
        <f t="shared" si="0"/>
        <v>0</v>
      </c>
      <c r="Z7" s="22">
        <f t="shared" si="0"/>
        <v>17.142857142857142</v>
      </c>
      <c r="AA7" s="22">
        <f t="shared" si="0"/>
        <v>0</v>
      </c>
      <c r="AB7" s="22">
        <f t="shared" si="0"/>
        <v>0</v>
      </c>
      <c r="AC7" s="22">
        <f t="shared" si="0"/>
        <v>0</v>
      </c>
      <c r="AD7" s="22">
        <f t="shared" si="0"/>
        <v>0</v>
      </c>
      <c r="AE7" s="22">
        <f t="shared" si="0"/>
        <v>0</v>
      </c>
      <c r="AF7" s="22">
        <f t="shared" si="0"/>
        <v>0</v>
      </c>
      <c r="AG7" s="22">
        <f t="shared" si="0"/>
        <v>0</v>
      </c>
      <c r="AH7" s="22">
        <f t="shared" si="0"/>
        <v>0</v>
      </c>
      <c r="AI7" s="22">
        <f t="shared" si="0"/>
        <v>0</v>
      </c>
      <c r="AJ7" s="22">
        <f t="shared" si="0"/>
        <v>0</v>
      </c>
      <c r="AK7" s="61"/>
      <c r="AM7" s="35" t="s">
        <v>322</v>
      </c>
    </row>
    <row r="8" spans="1:39" x14ac:dyDescent="0.25">
      <c r="A8" s="35">
        <v>7</v>
      </c>
      <c r="B8" s="35">
        <v>7</v>
      </c>
      <c r="C8" s="63" t="s">
        <v>720</v>
      </c>
      <c r="D8" s="3">
        <v>63</v>
      </c>
      <c r="E8" s="3">
        <v>62</v>
      </c>
      <c r="F8" s="3">
        <v>32</v>
      </c>
      <c r="G8" s="3">
        <f>33+108+22+22</f>
        <v>185</v>
      </c>
      <c r="H8" s="3"/>
      <c r="I8" s="3">
        <v>72</v>
      </c>
      <c r="J8" s="418"/>
      <c r="K8" s="418">
        <v>80</v>
      </c>
      <c r="L8" s="418">
        <v>105</v>
      </c>
      <c r="M8" s="418"/>
      <c r="N8" s="418"/>
      <c r="O8" s="418"/>
      <c r="P8" s="418"/>
      <c r="Q8" s="418"/>
      <c r="R8" s="418"/>
      <c r="S8" s="418"/>
      <c r="T8" s="56">
        <v>7</v>
      </c>
      <c r="U8" s="22">
        <f t="shared" si="1"/>
        <v>9</v>
      </c>
      <c r="V8" s="22">
        <f t="shared" si="0"/>
        <v>8.8571428571428577</v>
      </c>
      <c r="W8" s="22">
        <f t="shared" si="0"/>
        <v>4.5714285714285712</v>
      </c>
      <c r="X8" s="22">
        <f t="shared" si="0"/>
        <v>26.428571428571427</v>
      </c>
      <c r="Y8" s="22">
        <f t="shared" si="0"/>
        <v>0</v>
      </c>
      <c r="Z8" s="22">
        <f t="shared" si="0"/>
        <v>10.285714285714286</v>
      </c>
      <c r="AA8" s="22">
        <f t="shared" si="0"/>
        <v>0</v>
      </c>
      <c r="AB8" s="22">
        <f t="shared" si="0"/>
        <v>11.428571428571429</v>
      </c>
      <c r="AC8" s="22">
        <f t="shared" si="0"/>
        <v>15</v>
      </c>
      <c r="AD8" s="22">
        <f t="shared" si="0"/>
        <v>0</v>
      </c>
      <c r="AE8" s="22">
        <f t="shared" si="0"/>
        <v>0</v>
      </c>
      <c r="AF8" s="22">
        <f t="shared" si="0"/>
        <v>0</v>
      </c>
      <c r="AG8" s="22">
        <f t="shared" si="0"/>
        <v>0</v>
      </c>
      <c r="AH8" s="22">
        <f t="shared" si="0"/>
        <v>0</v>
      </c>
      <c r="AI8" s="22">
        <f t="shared" si="0"/>
        <v>0</v>
      </c>
      <c r="AJ8" s="22">
        <f t="shared" si="0"/>
        <v>0</v>
      </c>
      <c r="AK8" s="61"/>
      <c r="AM8" s="35" t="s">
        <v>365</v>
      </c>
    </row>
    <row r="9" spans="1:39" x14ac:dyDescent="0.25">
      <c r="A9" s="35">
        <v>8</v>
      </c>
      <c r="B9" s="35">
        <v>8</v>
      </c>
      <c r="C9" s="63" t="s">
        <v>720</v>
      </c>
      <c r="D9" s="3"/>
      <c r="E9" s="3"/>
      <c r="F9" s="3"/>
      <c r="G9" s="3"/>
      <c r="H9" s="3"/>
      <c r="I9" s="3">
        <v>180</v>
      </c>
      <c r="J9" s="418"/>
      <c r="K9" s="418"/>
      <c r="L9" s="418"/>
      <c r="M9" s="418"/>
      <c r="N9" s="418"/>
      <c r="O9" s="418"/>
      <c r="P9" s="418"/>
      <c r="Q9" s="418"/>
      <c r="R9" s="418"/>
      <c r="S9" s="418"/>
      <c r="T9" s="56">
        <v>6</v>
      </c>
      <c r="U9" s="22">
        <f>D9/$T9</f>
        <v>0</v>
      </c>
      <c r="V9" s="22">
        <f t="shared" si="0"/>
        <v>0</v>
      </c>
      <c r="W9" s="22">
        <f t="shared" si="0"/>
        <v>0</v>
      </c>
      <c r="X9" s="22">
        <f t="shared" si="0"/>
        <v>0</v>
      </c>
      <c r="Y9" s="22">
        <f t="shared" si="0"/>
        <v>0</v>
      </c>
      <c r="Z9" s="22">
        <f t="shared" si="0"/>
        <v>30</v>
      </c>
      <c r="AA9" s="22">
        <f t="shared" si="0"/>
        <v>0</v>
      </c>
      <c r="AB9" s="22">
        <f t="shared" si="0"/>
        <v>0</v>
      </c>
      <c r="AC9" s="22">
        <f t="shared" si="0"/>
        <v>0</v>
      </c>
      <c r="AD9" s="22">
        <f t="shared" si="0"/>
        <v>0</v>
      </c>
      <c r="AE9" s="22">
        <f t="shared" si="0"/>
        <v>0</v>
      </c>
      <c r="AF9" s="22">
        <f t="shared" si="0"/>
        <v>0</v>
      </c>
      <c r="AG9" s="22">
        <f t="shared" si="0"/>
        <v>0</v>
      </c>
      <c r="AH9" s="22">
        <f t="shared" si="0"/>
        <v>0</v>
      </c>
      <c r="AI9" s="22">
        <f t="shared" si="0"/>
        <v>0</v>
      </c>
      <c r="AJ9" s="22">
        <f t="shared" si="0"/>
        <v>0</v>
      </c>
      <c r="AK9" s="61"/>
      <c r="AM9" s="35" t="s">
        <v>590</v>
      </c>
    </row>
    <row r="10" spans="1:39" x14ac:dyDescent="0.25">
      <c r="A10" s="63">
        <v>9</v>
      </c>
      <c r="B10" s="35">
        <v>9</v>
      </c>
      <c r="C10" s="63" t="s">
        <v>304</v>
      </c>
      <c r="D10" s="3"/>
      <c r="E10" s="3"/>
      <c r="F10" s="3"/>
      <c r="G10" s="3"/>
      <c r="H10" s="3"/>
      <c r="I10" s="3">
        <v>180</v>
      </c>
      <c r="J10" s="418"/>
      <c r="K10" s="418"/>
      <c r="L10" s="418"/>
      <c r="M10" s="418"/>
      <c r="N10" s="418"/>
      <c r="O10" s="418"/>
      <c r="P10" s="418"/>
      <c r="Q10" s="418"/>
      <c r="R10" s="418"/>
      <c r="S10" s="418"/>
      <c r="T10" s="56">
        <v>6</v>
      </c>
      <c r="U10" s="22">
        <f t="shared" si="1"/>
        <v>0</v>
      </c>
      <c r="V10" s="22">
        <f t="shared" si="0"/>
        <v>0</v>
      </c>
      <c r="W10" s="22">
        <f t="shared" si="0"/>
        <v>0</v>
      </c>
      <c r="X10" s="22">
        <f t="shared" si="0"/>
        <v>0</v>
      </c>
      <c r="Y10" s="22">
        <f t="shared" si="0"/>
        <v>0</v>
      </c>
      <c r="Z10" s="22">
        <f t="shared" si="0"/>
        <v>30</v>
      </c>
      <c r="AA10" s="22">
        <f t="shared" si="0"/>
        <v>0</v>
      </c>
      <c r="AB10" s="22">
        <f t="shared" si="0"/>
        <v>0</v>
      </c>
      <c r="AC10" s="22">
        <f t="shared" si="0"/>
        <v>0</v>
      </c>
      <c r="AD10" s="22">
        <f t="shared" si="0"/>
        <v>0</v>
      </c>
      <c r="AE10" s="22">
        <f t="shared" si="0"/>
        <v>0</v>
      </c>
      <c r="AF10" s="22">
        <f t="shared" si="0"/>
        <v>0</v>
      </c>
      <c r="AG10" s="22">
        <f t="shared" si="0"/>
        <v>0</v>
      </c>
      <c r="AH10" s="22">
        <f t="shared" si="0"/>
        <v>0</v>
      </c>
      <c r="AI10" s="22">
        <f t="shared" si="0"/>
        <v>0</v>
      </c>
      <c r="AJ10" s="22">
        <f t="shared" si="0"/>
        <v>0</v>
      </c>
      <c r="AK10" s="61"/>
    </row>
    <row r="11" spans="1:39" x14ac:dyDescent="0.25">
      <c r="A11" s="35">
        <v>10</v>
      </c>
      <c r="B11" s="35">
        <v>10</v>
      </c>
      <c r="C11" s="422"/>
      <c r="D11" s="418"/>
      <c r="E11" s="418"/>
      <c r="F11" s="418"/>
      <c r="G11" s="418"/>
      <c r="H11" s="418"/>
      <c r="I11" s="418"/>
      <c r="J11" s="418"/>
      <c r="K11" s="418"/>
      <c r="L11" s="418"/>
      <c r="M11" s="418"/>
      <c r="N11" s="418"/>
      <c r="O11" s="418"/>
      <c r="P11" s="418"/>
      <c r="Q11" s="418"/>
      <c r="R11" s="418"/>
      <c r="S11" s="418"/>
      <c r="T11" s="56"/>
      <c r="U11" s="22" t="e">
        <f t="shared" si="1"/>
        <v>#DIV/0!</v>
      </c>
      <c r="V11" s="22" t="e">
        <f t="shared" si="0"/>
        <v>#DIV/0!</v>
      </c>
      <c r="W11" s="22" t="e">
        <f t="shared" si="0"/>
        <v>#DIV/0!</v>
      </c>
      <c r="X11" s="22" t="e">
        <f t="shared" si="0"/>
        <v>#DIV/0!</v>
      </c>
      <c r="Y11" s="22" t="e">
        <f t="shared" si="0"/>
        <v>#DIV/0!</v>
      </c>
      <c r="Z11" s="22" t="e">
        <f t="shared" si="0"/>
        <v>#DIV/0!</v>
      </c>
      <c r="AA11" s="22" t="e">
        <f t="shared" si="0"/>
        <v>#DIV/0!</v>
      </c>
      <c r="AB11" s="22" t="e">
        <f t="shared" si="0"/>
        <v>#DIV/0!</v>
      </c>
      <c r="AC11" s="22" t="e">
        <f t="shared" si="0"/>
        <v>#DIV/0!</v>
      </c>
      <c r="AD11" s="22" t="e">
        <f t="shared" si="0"/>
        <v>#DIV/0!</v>
      </c>
      <c r="AE11" s="22" t="e">
        <f t="shared" si="0"/>
        <v>#DIV/0!</v>
      </c>
      <c r="AF11" s="22" t="e">
        <f t="shared" si="0"/>
        <v>#DIV/0!</v>
      </c>
      <c r="AG11" s="22" t="e">
        <f t="shared" si="0"/>
        <v>#DIV/0!</v>
      </c>
      <c r="AH11" s="22" t="e">
        <f t="shared" si="0"/>
        <v>#DIV/0!</v>
      </c>
      <c r="AI11" s="22" t="e">
        <f t="shared" si="0"/>
        <v>#DIV/0!</v>
      </c>
      <c r="AJ11" s="22" t="e">
        <f t="shared" si="0"/>
        <v>#DIV/0!</v>
      </c>
      <c r="AK11" s="61"/>
    </row>
    <row r="12" spans="1:39" x14ac:dyDescent="0.25">
      <c r="A12" s="35">
        <v>11</v>
      </c>
      <c r="B12" s="35">
        <v>11</v>
      </c>
      <c r="C12" s="35"/>
      <c r="D12" s="3"/>
      <c r="E12" s="3"/>
      <c r="F12" s="3"/>
      <c r="G12" s="3"/>
      <c r="H12" s="418"/>
      <c r="I12" s="3"/>
      <c r="J12" s="418"/>
      <c r="K12" s="418"/>
      <c r="L12" s="418"/>
      <c r="M12" s="418"/>
      <c r="N12" s="418"/>
      <c r="O12" s="418"/>
      <c r="P12" s="418"/>
      <c r="Q12" s="418"/>
      <c r="R12" s="418"/>
      <c r="S12" s="418"/>
      <c r="T12" s="56"/>
      <c r="U12" s="22" t="e">
        <f t="shared" si="1"/>
        <v>#DIV/0!</v>
      </c>
      <c r="V12" s="22" t="e">
        <f t="shared" si="0"/>
        <v>#DIV/0!</v>
      </c>
      <c r="W12" s="22" t="e">
        <f t="shared" si="0"/>
        <v>#DIV/0!</v>
      </c>
      <c r="X12" s="22" t="e">
        <f t="shared" si="0"/>
        <v>#DIV/0!</v>
      </c>
      <c r="Y12" s="22" t="e">
        <f t="shared" si="0"/>
        <v>#DIV/0!</v>
      </c>
      <c r="Z12" s="22" t="e">
        <f t="shared" si="0"/>
        <v>#DIV/0!</v>
      </c>
      <c r="AA12" s="22" t="e">
        <f t="shared" si="0"/>
        <v>#DIV/0!</v>
      </c>
      <c r="AB12" s="22" t="e">
        <f t="shared" si="0"/>
        <v>#DIV/0!</v>
      </c>
      <c r="AC12" s="22" t="e">
        <f t="shared" si="0"/>
        <v>#DIV/0!</v>
      </c>
      <c r="AD12" s="22" t="e">
        <f t="shared" si="0"/>
        <v>#DIV/0!</v>
      </c>
      <c r="AE12" s="22" t="e">
        <f t="shared" si="0"/>
        <v>#DIV/0!</v>
      </c>
      <c r="AF12" s="22" t="e">
        <f t="shared" si="0"/>
        <v>#DIV/0!</v>
      </c>
      <c r="AG12" s="22" t="e">
        <f t="shared" si="0"/>
        <v>#DIV/0!</v>
      </c>
      <c r="AH12" s="22" t="e">
        <f t="shared" si="0"/>
        <v>#DIV/0!</v>
      </c>
      <c r="AI12" s="22" t="e">
        <f t="shared" si="0"/>
        <v>#DIV/0!</v>
      </c>
      <c r="AJ12" s="22" t="e">
        <f t="shared" si="0"/>
        <v>#DIV/0!</v>
      </c>
      <c r="AK12" s="61"/>
    </row>
    <row r="13" spans="1:39" x14ac:dyDescent="0.25">
      <c r="A13" s="35">
        <v>12</v>
      </c>
      <c r="B13" s="35">
        <v>12</v>
      </c>
      <c r="C13" s="35"/>
      <c r="D13" s="3"/>
      <c r="E13" s="3"/>
      <c r="F13" s="3"/>
      <c r="G13" s="3"/>
      <c r="H13" s="418"/>
      <c r="I13" s="3"/>
      <c r="J13" s="418"/>
      <c r="K13" s="418"/>
      <c r="L13" s="418"/>
      <c r="M13" s="3"/>
      <c r="N13" s="3"/>
      <c r="O13" s="418"/>
      <c r="P13" s="3"/>
      <c r="Q13" s="3"/>
      <c r="R13" s="3"/>
      <c r="S13" s="3"/>
      <c r="T13" s="56"/>
      <c r="U13" s="22" t="e">
        <f t="shared" si="1"/>
        <v>#DIV/0!</v>
      </c>
      <c r="V13" s="22" t="e">
        <f t="shared" si="0"/>
        <v>#DIV/0!</v>
      </c>
      <c r="W13" s="22" t="e">
        <f t="shared" si="0"/>
        <v>#DIV/0!</v>
      </c>
      <c r="X13" s="22" t="e">
        <f t="shared" si="0"/>
        <v>#DIV/0!</v>
      </c>
      <c r="Y13" s="22" t="e">
        <f t="shared" si="0"/>
        <v>#DIV/0!</v>
      </c>
      <c r="Z13" s="22" t="e">
        <f t="shared" si="0"/>
        <v>#DIV/0!</v>
      </c>
      <c r="AA13" s="22" t="e">
        <f t="shared" si="0"/>
        <v>#DIV/0!</v>
      </c>
      <c r="AB13" s="22" t="e">
        <f t="shared" si="0"/>
        <v>#DIV/0!</v>
      </c>
      <c r="AC13" s="22" t="e">
        <f t="shared" si="0"/>
        <v>#DIV/0!</v>
      </c>
      <c r="AD13" s="22" t="e">
        <f t="shared" si="0"/>
        <v>#DIV/0!</v>
      </c>
      <c r="AE13" s="22" t="e">
        <f t="shared" si="0"/>
        <v>#DIV/0!</v>
      </c>
      <c r="AF13" s="22" t="e">
        <f t="shared" si="0"/>
        <v>#DIV/0!</v>
      </c>
      <c r="AG13" s="22" t="e">
        <f t="shared" si="0"/>
        <v>#DIV/0!</v>
      </c>
      <c r="AH13" s="22" t="e">
        <f t="shared" si="0"/>
        <v>#DIV/0!</v>
      </c>
      <c r="AI13" s="22" t="e">
        <f t="shared" si="0"/>
        <v>#DIV/0!</v>
      </c>
      <c r="AJ13" s="22" t="e">
        <f t="shared" si="0"/>
        <v>#DIV/0!</v>
      </c>
      <c r="AK13" s="61"/>
    </row>
    <row r="14" spans="1:39" x14ac:dyDescent="0.25">
      <c r="A14" s="35">
        <v>13</v>
      </c>
      <c r="B14" s="35">
        <v>13</v>
      </c>
      <c r="C14" s="35"/>
      <c r="D14" s="3"/>
      <c r="E14" s="3"/>
      <c r="F14" s="3"/>
      <c r="G14" s="3"/>
      <c r="H14" s="3"/>
      <c r="I14" s="3"/>
      <c r="J14" s="3"/>
      <c r="K14" s="418"/>
      <c r="L14" s="418"/>
      <c r="M14" s="3"/>
      <c r="N14" s="3"/>
      <c r="O14" s="418"/>
      <c r="P14" s="3"/>
      <c r="Q14" s="3"/>
      <c r="R14" s="3"/>
      <c r="S14" s="3"/>
      <c r="T14" s="56"/>
      <c r="U14" s="22" t="e">
        <f t="shared" si="1"/>
        <v>#DIV/0!</v>
      </c>
      <c r="V14" s="22" t="e">
        <f t="shared" si="0"/>
        <v>#DIV/0!</v>
      </c>
      <c r="W14" s="22" t="e">
        <f t="shared" si="0"/>
        <v>#DIV/0!</v>
      </c>
      <c r="X14" s="22" t="e">
        <f t="shared" si="0"/>
        <v>#DIV/0!</v>
      </c>
      <c r="Y14" s="22" t="e">
        <f t="shared" si="0"/>
        <v>#DIV/0!</v>
      </c>
      <c r="Z14" s="22" t="e">
        <f t="shared" si="0"/>
        <v>#DIV/0!</v>
      </c>
      <c r="AA14" s="22" t="e">
        <f t="shared" si="0"/>
        <v>#DIV/0!</v>
      </c>
      <c r="AB14" s="22" t="e">
        <f t="shared" si="0"/>
        <v>#DIV/0!</v>
      </c>
      <c r="AC14" s="22" t="e">
        <f t="shared" si="0"/>
        <v>#DIV/0!</v>
      </c>
      <c r="AD14" s="22" t="e">
        <f t="shared" si="0"/>
        <v>#DIV/0!</v>
      </c>
      <c r="AE14" s="22" t="e">
        <f t="shared" si="0"/>
        <v>#DIV/0!</v>
      </c>
      <c r="AF14" s="22" t="e">
        <f t="shared" si="0"/>
        <v>#DIV/0!</v>
      </c>
      <c r="AG14" s="22" t="e">
        <f t="shared" si="0"/>
        <v>#DIV/0!</v>
      </c>
      <c r="AH14" s="22" t="e">
        <f t="shared" si="0"/>
        <v>#DIV/0!</v>
      </c>
      <c r="AI14" s="22" t="e">
        <f t="shared" si="0"/>
        <v>#DIV/0!</v>
      </c>
      <c r="AJ14" s="22" t="e">
        <f t="shared" si="0"/>
        <v>#DIV/0!</v>
      </c>
      <c r="AK14" s="61"/>
    </row>
    <row r="15" spans="1:39" x14ac:dyDescent="0.25">
      <c r="A15" s="35">
        <v>14</v>
      </c>
      <c r="B15" s="35">
        <v>14</v>
      </c>
      <c r="C15" s="63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418"/>
      <c r="T15" s="56"/>
      <c r="U15" s="22" t="e">
        <f t="shared" si="1"/>
        <v>#DIV/0!</v>
      </c>
      <c r="V15" s="22" t="e">
        <f t="shared" si="0"/>
        <v>#DIV/0!</v>
      </c>
      <c r="W15" s="22" t="e">
        <f t="shared" si="0"/>
        <v>#DIV/0!</v>
      </c>
      <c r="X15" s="22" t="e">
        <f t="shared" si="0"/>
        <v>#DIV/0!</v>
      </c>
      <c r="Y15" s="22" t="e">
        <f t="shared" si="0"/>
        <v>#DIV/0!</v>
      </c>
      <c r="Z15" s="22" t="e">
        <f t="shared" si="0"/>
        <v>#DIV/0!</v>
      </c>
      <c r="AA15" s="22" t="e">
        <f t="shared" si="0"/>
        <v>#DIV/0!</v>
      </c>
      <c r="AB15" s="22" t="e">
        <f t="shared" si="0"/>
        <v>#DIV/0!</v>
      </c>
      <c r="AC15" s="22" t="e">
        <f t="shared" si="0"/>
        <v>#DIV/0!</v>
      </c>
      <c r="AD15" s="22" t="e">
        <f t="shared" si="0"/>
        <v>#DIV/0!</v>
      </c>
      <c r="AE15" s="22" t="e">
        <f t="shared" si="0"/>
        <v>#DIV/0!</v>
      </c>
      <c r="AF15" s="22" t="e">
        <f t="shared" si="0"/>
        <v>#DIV/0!</v>
      </c>
      <c r="AG15" s="22" t="e">
        <f t="shared" si="0"/>
        <v>#DIV/0!</v>
      </c>
      <c r="AH15" s="22" t="e">
        <f t="shared" si="0"/>
        <v>#DIV/0!</v>
      </c>
      <c r="AI15" s="22" t="e">
        <f t="shared" si="0"/>
        <v>#DIV/0!</v>
      </c>
      <c r="AJ15" s="22" t="e">
        <f t="shared" si="0"/>
        <v>#DIV/0!</v>
      </c>
      <c r="AK15" s="61"/>
    </row>
    <row r="16" spans="1:39" x14ac:dyDescent="0.25">
      <c r="A16" s="63">
        <v>15</v>
      </c>
      <c r="B16" s="35">
        <v>15</v>
      </c>
      <c r="C16" s="63"/>
      <c r="D16" s="3"/>
      <c r="E16" s="3"/>
      <c r="F16" s="3"/>
      <c r="G16" s="3"/>
      <c r="H16" s="3"/>
      <c r="I16" s="3"/>
      <c r="J16" s="3"/>
      <c r="K16" s="3"/>
      <c r="L16" s="3"/>
      <c r="M16" s="3"/>
      <c r="N16" s="418"/>
      <c r="O16" s="418"/>
      <c r="P16" s="3"/>
      <c r="Q16" s="3"/>
      <c r="R16" s="418"/>
      <c r="S16" s="3"/>
      <c r="T16" s="56"/>
      <c r="U16" s="22" t="e">
        <f t="shared" ref="U16:U27" si="3">D16/$T16</f>
        <v>#DIV/0!</v>
      </c>
      <c r="V16" s="22" t="e">
        <f t="shared" ref="V16:V27" si="4">E16/$T16</f>
        <v>#DIV/0!</v>
      </c>
      <c r="W16" s="22" t="e">
        <f t="shared" ref="W16:W27" si="5">F16/$T16</f>
        <v>#DIV/0!</v>
      </c>
      <c r="X16" s="22" t="e">
        <f t="shared" ref="X16:X27" si="6">G16/$T16</f>
        <v>#DIV/0!</v>
      </c>
      <c r="Y16" s="22" t="e">
        <f t="shared" ref="Y16:Y27" si="7">H16/$T16</f>
        <v>#DIV/0!</v>
      </c>
      <c r="Z16" s="22" t="e">
        <f t="shared" ref="Z16:Z27" si="8">I16/$T16</f>
        <v>#DIV/0!</v>
      </c>
      <c r="AA16" s="22" t="e">
        <f t="shared" ref="AA16:AA27" si="9">J16/$T16</f>
        <v>#DIV/0!</v>
      </c>
      <c r="AB16" s="22" t="e">
        <f t="shared" ref="AB16:AB27" si="10">K16/$T16</f>
        <v>#DIV/0!</v>
      </c>
      <c r="AC16" s="22" t="e">
        <f t="shared" ref="AC16:AC27" si="11">L16/$T16</f>
        <v>#DIV/0!</v>
      </c>
      <c r="AD16" s="22" t="e">
        <f t="shared" ref="AD16:AD27" si="12">M16/$T16</f>
        <v>#DIV/0!</v>
      </c>
      <c r="AE16" s="22" t="e">
        <f t="shared" ref="AE16:AE27" si="13">N16/$T16</f>
        <v>#DIV/0!</v>
      </c>
      <c r="AF16" s="22" t="e">
        <f t="shared" ref="AF16:AF27" si="14">O16/$T16</f>
        <v>#DIV/0!</v>
      </c>
      <c r="AG16" s="22" t="e">
        <f t="shared" ref="AG16:AG27" si="15">P16/$T16</f>
        <v>#DIV/0!</v>
      </c>
      <c r="AH16" s="22" t="e">
        <f t="shared" ref="AH16:AH27" si="16">Q16/$T16</f>
        <v>#DIV/0!</v>
      </c>
      <c r="AI16" s="22" t="e">
        <f t="shared" ref="AI16:AI27" si="17">R16/$T16</f>
        <v>#DIV/0!</v>
      </c>
      <c r="AJ16" s="22" t="e">
        <f t="shared" ref="AJ16:AJ27" si="18">S16/$T16</f>
        <v>#DIV/0!</v>
      </c>
      <c r="AK16" s="61"/>
    </row>
    <row r="17" spans="1:37" x14ac:dyDescent="0.25">
      <c r="A17" s="35">
        <v>16</v>
      </c>
      <c r="B17" s="35">
        <v>16</v>
      </c>
      <c r="C17" s="63"/>
      <c r="D17" s="3"/>
      <c r="E17" s="3"/>
      <c r="F17" s="3"/>
      <c r="G17" s="3"/>
      <c r="H17" s="3"/>
      <c r="I17" s="3"/>
      <c r="J17" s="3"/>
      <c r="K17" s="3"/>
      <c r="L17" s="3"/>
      <c r="M17" s="3"/>
      <c r="N17" s="418"/>
      <c r="O17" s="418"/>
      <c r="P17" s="3"/>
      <c r="Q17" s="3"/>
      <c r="R17" s="418"/>
      <c r="S17" s="3"/>
      <c r="T17" s="56"/>
      <c r="U17" s="22" t="e">
        <f t="shared" si="3"/>
        <v>#DIV/0!</v>
      </c>
      <c r="V17" s="22" t="e">
        <f t="shared" si="4"/>
        <v>#DIV/0!</v>
      </c>
      <c r="W17" s="22" t="e">
        <f t="shared" si="5"/>
        <v>#DIV/0!</v>
      </c>
      <c r="X17" s="22" t="e">
        <f t="shared" si="6"/>
        <v>#DIV/0!</v>
      </c>
      <c r="Y17" s="22" t="e">
        <f t="shared" si="7"/>
        <v>#DIV/0!</v>
      </c>
      <c r="Z17" s="22" t="e">
        <f t="shared" si="8"/>
        <v>#DIV/0!</v>
      </c>
      <c r="AA17" s="22" t="e">
        <f t="shared" si="9"/>
        <v>#DIV/0!</v>
      </c>
      <c r="AB17" s="22" t="e">
        <f t="shared" si="10"/>
        <v>#DIV/0!</v>
      </c>
      <c r="AC17" s="22" t="e">
        <f t="shared" si="11"/>
        <v>#DIV/0!</v>
      </c>
      <c r="AD17" s="22" t="e">
        <f t="shared" si="12"/>
        <v>#DIV/0!</v>
      </c>
      <c r="AE17" s="22" t="e">
        <f t="shared" si="13"/>
        <v>#DIV/0!</v>
      </c>
      <c r="AF17" s="22" t="e">
        <f t="shared" si="14"/>
        <v>#DIV/0!</v>
      </c>
      <c r="AG17" s="22" t="e">
        <f t="shared" si="15"/>
        <v>#DIV/0!</v>
      </c>
      <c r="AH17" s="22" t="e">
        <f t="shared" si="16"/>
        <v>#DIV/0!</v>
      </c>
      <c r="AI17" s="22" t="e">
        <f t="shared" si="17"/>
        <v>#DIV/0!</v>
      </c>
      <c r="AJ17" s="22" t="e">
        <f t="shared" si="18"/>
        <v>#DIV/0!</v>
      </c>
      <c r="AK17" s="61"/>
    </row>
    <row r="18" spans="1:37" x14ac:dyDescent="0.25">
      <c r="A18" s="35">
        <v>17</v>
      </c>
      <c r="B18" s="35">
        <v>17</v>
      </c>
      <c r="C18" s="63"/>
      <c r="D18" s="3"/>
      <c r="E18" s="3"/>
      <c r="F18" s="3"/>
      <c r="G18" s="3"/>
      <c r="H18" s="3"/>
      <c r="I18" s="3"/>
      <c r="J18" s="3"/>
      <c r="K18" s="3"/>
      <c r="L18" s="3"/>
      <c r="M18" s="3"/>
      <c r="N18" s="418"/>
      <c r="O18" s="3"/>
      <c r="P18" s="3"/>
      <c r="Q18" s="3"/>
      <c r="R18" s="418"/>
      <c r="S18" s="3"/>
      <c r="T18" s="56"/>
      <c r="U18" s="22" t="e">
        <f t="shared" si="3"/>
        <v>#DIV/0!</v>
      </c>
      <c r="V18" s="22" t="e">
        <f t="shared" si="4"/>
        <v>#DIV/0!</v>
      </c>
      <c r="W18" s="22" t="e">
        <f t="shared" si="5"/>
        <v>#DIV/0!</v>
      </c>
      <c r="X18" s="22" t="e">
        <f t="shared" si="6"/>
        <v>#DIV/0!</v>
      </c>
      <c r="Y18" s="22" t="e">
        <f t="shared" si="7"/>
        <v>#DIV/0!</v>
      </c>
      <c r="Z18" s="22" t="e">
        <f t="shared" si="8"/>
        <v>#DIV/0!</v>
      </c>
      <c r="AA18" s="22" t="e">
        <f t="shared" si="9"/>
        <v>#DIV/0!</v>
      </c>
      <c r="AB18" s="22" t="e">
        <f t="shared" si="10"/>
        <v>#DIV/0!</v>
      </c>
      <c r="AC18" s="22" t="e">
        <f t="shared" si="11"/>
        <v>#DIV/0!</v>
      </c>
      <c r="AD18" s="22" t="e">
        <f t="shared" si="12"/>
        <v>#DIV/0!</v>
      </c>
      <c r="AE18" s="22" t="e">
        <f t="shared" si="13"/>
        <v>#DIV/0!</v>
      </c>
      <c r="AF18" s="22" t="e">
        <f t="shared" si="14"/>
        <v>#DIV/0!</v>
      </c>
      <c r="AG18" s="22" t="e">
        <f t="shared" si="15"/>
        <v>#DIV/0!</v>
      </c>
      <c r="AH18" s="22" t="e">
        <f t="shared" si="16"/>
        <v>#DIV/0!</v>
      </c>
      <c r="AI18" s="22" t="e">
        <f t="shared" si="17"/>
        <v>#DIV/0!</v>
      </c>
      <c r="AJ18" s="22" t="e">
        <f t="shared" si="18"/>
        <v>#DIV/0!</v>
      </c>
      <c r="AK18" s="61"/>
    </row>
    <row r="19" spans="1:37" x14ac:dyDescent="0.25">
      <c r="A19" s="35">
        <v>18</v>
      </c>
      <c r="B19" s="35">
        <v>18</v>
      </c>
      <c r="C19" s="63"/>
      <c r="D19" s="3"/>
      <c r="E19" s="3"/>
      <c r="F19" s="3"/>
      <c r="G19" s="3"/>
      <c r="H19" s="3"/>
      <c r="I19" s="3"/>
      <c r="J19" s="3"/>
      <c r="K19" s="3"/>
      <c r="L19" s="3"/>
      <c r="M19" s="3"/>
      <c r="N19" s="418"/>
      <c r="O19" s="3"/>
      <c r="P19" s="3"/>
      <c r="Q19" s="3"/>
      <c r="R19" s="418"/>
      <c r="S19" s="3"/>
      <c r="T19" s="56"/>
      <c r="U19" s="22" t="e">
        <f t="shared" si="3"/>
        <v>#DIV/0!</v>
      </c>
      <c r="V19" s="22" t="e">
        <f t="shared" si="4"/>
        <v>#DIV/0!</v>
      </c>
      <c r="W19" s="22" t="e">
        <f t="shared" si="5"/>
        <v>#DIV/0!</v>
      </c>
      <c r="X19" s="22" t="e">
        <f t="shared" si="6"/>
        <v>#DIV/0!</v>
      </c>
      <c r="Y19" s="22" t="e">
        <f t="shared" si="7"/>
        <v>#DIV/0!</v>
      </c>
      <c r="Z19" s="22" t="e">
        <f t="shared" si="8"/>
        <v>#DIV/0!</v>
      </c>
      <c r="AA19" s="22" t="e">
        <f t="shared" si="9"/>
        <v>#DIV/0!</v>
      </c>
      <c r="AB19" s="22" t="e">
        <f t="shared" si="10"/>
        <v>#DIV/0!</v>
      </c>
      <c r="AC19" s="22" t="e">
        <f t="shared" si="11"/>
        <v>#DIV/0!</v>
      </c>
      <c r="AD19" s="22" t="e">
        <f t="shared" si="12"/>
        <v>#DIV/0!</v>
      </c>
      <c r="AE19" s="22" t="e">
        <f t="shared" si="13"/>
        <v>#DIV/0!</v>
      </c>
      <c r="AF19" s="22" t="e">
        <f t="shared" si="14"/>
        <v>#DIV/0!</v>
      </c>
      <c r="AG19" s="22" t="e">
        <f t="shared" si="15"/>
        <v>#DIV/0!</v>
      </c>
      <c r="AH19" s="22" t="e">
        <f t="shared" si="16"/>
        <v>#DIV/0!</v>
      </c>
      <c r="AI19" s="22" t="e">
        <f t="shared" si="17"/>
        <v>#DIV/0!</v>
      </c>
      <c r="AJ19" s="22" t="e">
        <f t="shared" si="18"/>
        <v>#DIV/0!</v>
      </c>
      <c r="AK19" s="61"/>
    </row>
    <row r="20" spans="1:37" x14ac:dyDescent="0.25">
      <c r="A20" s="35">
        <v>19</v>
      </c>
      <c r="B20" s="421">
        <v>19</v>
      </c>
      <c r="C20" s="63"/>
      <c r="D20" s="3"/>
      <c r="E20" s="3"/>
      <c r="F20" s="3"/>
      <c r="G20" s="3"/>
      <c r="H20" s="3"/>
      <c r="I20" s="3"/>
      <c r="J20" s="3"/>
      <c r="K20" s="3"/>
      <c r="L20" s="3"/>
      <c r="M20" s="3"/>
      <c r="N20" s="418"/>
      <c r="O20" s="3"/>
      <c r="P20" s="3"/>
      <c r="Q20" s="418"/>
      <c r="R20" s="418"/>
      <c r="S20" s="3"/>
      <c r="T20" s="56"/>
      <c r="U20" s="22" t="e">
        <f t="shared" si="3"/>
        <v>#DIV/0!</v>
      </c>
      <c r="V20" s="22" t="e">
        <f t="shared" si="4"/>
        <v>#DIV/0!</v>
      </c>
      <c r="W20" s="22" t="e">
        <f t="shared" si="5"/>
        <v>#DIV/0!</v>
      </c>
      <c r="X20" s="22" t="e">
        <f t="shared" si="6"/>
        <v>#DIV/0!</v>
      </c>
      <c r="Y20" s="22" t="e">
        <f t="shared" si="7"/>
        <v>#DIV/0!</v>
      </c>
      <c r="Z20" s="22" t="e">
        <f t="shared" si="8"/>
        <v>#DIV/0!</v>
      </c>
      <c r="AA20" s="22" t="e">
        <f t="shared" si="9"/>
        <v>#DIV/0!</v>
      </c>
      <c r="AB20" s="22" t="e">
        <f t="shared" si="10"/>
        <v>#DIV/0!</v>
      </c>
      <c r="AC20" s="22" t="e">
        <f t="shared" si="11"/>
        <v>#DIV/0!</v>
      </c>
      <c r="AD20" s="22" t="e">
        <f t="shared" si="12"/>
        <v>#DIV/0!</v>
      </c>
      <c r="AE20" s="22" t="e">
        <f t="shared" si="13"/>
        <v>#DIV/0!</v>
      </c>
      <c r="AF20" s="22" t="e">
        <f t="shared" si="14"/>
        <v>#DIV/0!</v>
      </c>
      <c r="AG20" s="22" t="e">
        <f t="shared" si="15"/>
        <v>#DIV/0!</v>
      </c>
      <c r="AH20" s="22" t="e">
        <f t="shared" si="16"/>
        <v>#DIV/0!</v>
      </c>
      <c r="AI20" s="22" t="e">
        <f t="shared" si="17"/>
        <v>#DIV/0!</v>
      </c>
      <c r="AJ20" s="22" t="e">
        <f t="shared" si="18"/>
        <v>#DIV/0!</v>
      </c>
      <c r="AK20" s="61"/>
    </row>
    <row r="21" spans="1:37" x14ac:dyDescent="0.25">
      <c r="A21" s="35">
        <v>20</v>
      </c>
      <c r="B21" s="421">
        <v>20</v>
      </c>
      <c r="C21" s="63"/>
      <c r="D21" s="3"/>
      <c r="E21" s="3"/>
      <c r="F21" s="3"/>
      <c r="G21" s="3"/>
      <c r="H21" s="3"/>
      <c r="I21" s="3"/>
      <c r="J21" s="3"/>
      <c r="K21" s="3"/>
      <c r="L21" s="3"/>
      <c r="M21" s="3"/>
      <c r="N21" s="418"/>
      <c r="O21" s="3"/>
      <c r="P21" s="3"/>
      <c r="Q21" s="418"/>
      <c r="R21" s="418"/>
      <c r="S21" s="3"/>
      <c r="T21" s="56"/>
      <c r="U21" s="22" t="e">
        <f t="shared" si="3"/>
        <v>#DIV/0!</v>
      </c>
      <c r="V21" s="22" t="e">
        <f t="shared" si="4"/>
        <v>#DIV/0!</v>
      </c>
      <c r="W21" s="22" t="e">
        <f t="shared" si="5"/>
        <v>#DIV/0!</v>
      </c>
      <c r="X21" s="22" t="e">
        <f t="shared" si="6"/>
        <v>#DIV/0!</v>
      </c>
      <c r="Y21" s="22" t="e">
        <f t="shared" si="7"/>
        <v>#DIV/0!</v>
      </c>
      <c r="Z21" s="22" t="e">
        <f t="shared" si="8"/>
        <v>#DIV/0!</v>
      </c>
      <c r="AA21" s="22" t="e">
        <f t="shared" si="9"/>
        <v>#DIV/0!</v>
      </c>
      <c r="AB21" s="22" t="e">
        <f t="shared" si="10"/>
        <v>#DIV/0!</v>
      </c>
      <c r="AC21" s="22" t="e">
        <f t="shared" si="11"/>
        <v>#DIV/0!</v>
      </c>
      <c r="AD21" s="22" t="e">
        <f t="shared" si="12"/>
        <v>#DIV/0!</v>
      </c>
      <c r="AE21" s="22" t="e">
        <f t="shared" si="13"/>
        <v>#DIV/0!</v>
      </c>
      <c r="AF21" s="22" t="e">
        <f t="shared" si="14"/>
        <v>#DIV/0!</v>
      </c>
      <c r="AG21" s="22" t="e">
        <f t="shared" si="15"/>
        <v>#DIV/0!</v>
      </c>
      <c r="AH21" s="22" t="e">
        <f t="shared" si="16"/>
        <v>#DIV/0!</v>
      </c>
      <c r="AI21" s="22" t="e">
        <f t="shared" si="17"/>
        <v>#DIV/0!</v>
      </c>
      <c r="AJ21" s="22" t="e">
        <f t="shared" si="18"/>
        <v>#DIV/0!</v>
      </c>
      <c r="AK21" s="61"/>
    </row>
    <row r="22" spans="1:37" x14ac:dyDescent="0.25">
      <c r="A22" s="63">
        <v>21</v>
      </c>
      <c r="B22" s="421">
        <v>21</v>
      </c>
      <c r="C22" s="63"/>
      <c r="D22" s="3"/>
      <c r="E22" s="3"/>
      <c r="F22" s="3"/>
      <c r="G22" s="3"/>
      <c r="H22" s="3"/>
      <c r="I22" s="3"/>
      <c r="J22" s="3"/>
      <c r="K22" s="3"/>
      <c r="L22" s="3"/>
      <c r="M22" s="3"/>
      <c r="N22" s="418"/>
      <c r="O22" s="3"/>
      <c r="P22" s="3"/>
      <c r="Q22" s="3"/>
      <c r="R22" s="418"/>
      <c r="S22" s="3"/>
      <c r="T22" s="56"/>
      <c r="U22" s="22" t="e">
        <f t="shared" si="3"/>
        <v>#DIV/0!</v>
      </c>
      <c r="V22" s="22" t="e">
        <f t="shared" si="4"/>
        <v>#DIV/0!</v>
      </c>
      <c r="W22" s="22" t="e">
        <f t="shared" si="5"/>
        <v>#DIV/0!</v>
      </c>
      <c r="X22" s="22" t="e">
        <f t="shared" si="6"/>
        <v>#DIV/0!</v>
      </c>
      <c r="Y22" s="22" t="e">
        <f t="shared" si="7"/>
        <v>#DIV/0!</v>
      </c>
      <c r="Z22" s="22" t="e">
        <f t="shared" si="8"/>
        <v>#DIV/0!</v>
      </c>
      <c r="AA22" s="22" t="e">
        <f t="shared" si="9"/>
        <v>#DIV/0!</v>
      </c>
      <c r="AB22" s="22" t="e">
        <f t="shared" si="10"/>
        <v>#DIV/0!</v>
      </c>
      <c r="AC22" s="22" t="e">
        <f t="shared" si="11"/>
        <v>#DIV/0!</v>
      </c>
      <c r="AD22" s="22" t="e">
        <f t="shared" si="12"/>
        <v>#DIV/0!</v>
      </c>
      <c r="AE22" s="22" t="e">
        <f t="shared" si="13"/>
        <v>#DIV/0!</v>
      </c>
      <c r="AF22" s="22" t="e">
        <f t="shared" si="14"/>
        <v>#DIV/0!</v>
      </c>
      <c r="AG22" s="22" t="e">
        <f t="shared" si="15"/>
        <v>#DIV/0!</v>
      </c>
      <c r="AH22" s="22" t="e">
        <f t="shared" si="16"/>
        <v>#DIV/0!</v>
      </c>
      <c r="AI22" s="22" t="e">
        <f t="shared" si="17"/>
        <v>#DIV/0!</v>
      </c>
      <c r="AJ22" s="22" t="e">
        <f t="shared" si="18"/>
        <v>#DIV/0!</v>
      </c>
      <c r="AK22" s="61"/>
    </row>
    <row r="23" spans="1:37" x14ac:dyDescent="0.25">
      <c r="A23" s="35">
        <v>22</v>
      </c>
      <c r="B23" s="421">
        <v>22</v>
      </c>
      <c r="C23" s="63"/>
      <c r="D23" s="3"/>
      <c r="E23" s="3"/>
      <c r="F23" s="3"/>
      <c r="G23" s="3"/>
      <c r="H23" s="3"/>
      <c r="I23" s="3"/>
      <c r="J23" s="3"/>
      <c r="K23" s="3"/>
      <c r="L23" s="3"/>
      <c r="M23" s="3"/>
      <c r="N23" s="418"/>
      <c r="O23" s="3"/>
      <c r="P23" s="3"/>
      <c r="Q23" s="3"/>
      <c r="R23" s="418"/>
      <c r="S23" s="3"/>
      <c r="T23" s="56"/>
      <c r="U23" s="22" t="e">
        <f t="shared" si="3"/>
        <v>#DIV/0!</v>
      </c>
      <c r="V23" s="22" t="e">
        <f t="shared" si="4"/>
        <v>#DIV/0!</v>
      </c>
      <c r="W23" s="22" t="e">
        <f t="shared" si="5"/>
        <v>#DIV/0!</v>
      </c>
      <c r="X23" s="22" t="e">
        <f t="shared" si="6"/>
        <v>#DIV/0!</v>
      </c>
      <c r="Y23" s="22" t="e">
        <f t="shared" si="7"/>
        <v>#DIV/0!</v>
      </c>
      <c r="Z23" s="22" t="e">
        <f t="shared" si="8"/>
        <v>#DIV/0!</v>
      </c>
      <c r="AA23" s="22" t="e">
        <f t="shared" si="9"/>
        <v>#DIV/0!</v>
      </c>
      <c r="AB23" s="22" t="e">
        <f t="shared" si="10"/>
        <v>#DIV/0!</v>
      </c>
      <c r="AC23" s="22" t="e">
        <f t="shared" si="11"/>
        <v>#DIV/0!</v>
      </c>
      <c r="AD23" s="22" t="e">
        <f t="shared" si="12"/>
        <v>#DIV/0!</v>
      </c>
      <c r="AE23" s="22" t="e">
        <f t="shared" si="13"/>
        <v>#DIV/0!</v>
      </c>
      <c r="AF23" s="22" t="e">
        <f t="shared" si="14"/>
        <v>#DIV/0!</v>
      </c>
      <c r="AG23" s="22" t="e">
        <f t="shared" si="15"/>
        <v>#DIV/0!</v>
      </c>
      <c r="AH23" s="22" t="e">
        <f t="shared" si="16"/>
        <v>#DIV/0!</v>
      </c>
      <c r="AI23" s="22" t="e">
        <f t="shared" si="17"/>
        <v>#DIV/0!</v>
      </c>
      <c r="AJ23" s="22" t="e">
        <f t="shared" si="18"/>
        <v>#DIV/0!</v>
      </c>
      <c r="AK23" s="61"/>
    </row>
    <row r="24" spans="1:37" x14ac:dyDescent="0.25">
      <c r="A24" s="35">
        <v>23</v>
      </c>
      <c r="B24" s="35">
        <v>23</v>
      </c>
      <c r="C24" s="63"/>
      <c r="D24" s="3"/>
      <c r="E24" s="3"/>
      <c r="F24" s="3"/>
      <c r="G24" s="3"/>
      <c r="H24" s="3"/>
      <c r="I24" s="3"/>
      <c r="J24" s="3"/>
      <c r="K24" s="3"/>
      <c r="L24" s="3"/>
      <c r="M24" s="3"/>
      <c r="N24" s="418"/>
      <c r="O24" s="3"/>
      <c r="P24" s="3"/>
      <c r="Q24" s="3"/>
      <c r="R24" s="3"/>
      <c r="S24" s="3"/>
      <c r="T24" s="56"/>
      <c r="U24" s="22" t="e">
        <f t="shared" si="3"/>
        <v>#DIV/0!</v>
      </c>
      <c r="V24" s="22" t="e">
        <f t="shared" si="4"/>
        <v>#DIV/0!</v>
      </c>
      <c r="W24" s="22" t="e">
        <f t="shared" si="5"/>
        <v>#DIV/0!</v>
      </c>
      <c r="X24" s="22" t="e">
        <f t="shared" si="6"/>
        <v>#DIV/0!</v>
      </c>
      <c r="Y24" s="22" t="e">
        <f t="shared" si="7"/>
        <v>#DIV/0!</v>
      </c>
      <c r="Z24" s="22" t="e">
        <f t="shared" si="8"/>
        <v>#DIV/0!</v>
      </c>
      <c r="AA24" s="22" t="e">
        <f t="shared" si="9"/>
        <v>#DIV/0!</v>
      </c>
      <c r="AB24" s="22" t="e">
        <f t="shared" si="10"/>
        <v>#DIV/0!</v>
      </c>
      <c r="AC24" s="22" t="e">
        <f t="shared" si="11"/>
        <v>#DIV/0!</v>
      </c>
      <c r="AD24" s="22" t="e">
        <f t="shared" si="12"/>
        <v>#DIV/0!</v>
      </c>
      <c r="AE24" s="22" t="e">
        <f t="shared" si="13"/>
        <v>#DIV/0!</v>
      </c>
      <c r="AF24" s="22" t="e">
        <f t="shared" si="14"/>
        <v>#DIV/0!</v>
      </c>
      <c r="AG24" s="22" t="e">
        <f t="shared" si="15"/>
        <v>#DIV/0!</v>
      </c>
      <c r="AH24" s="22" t="e">
        <f t="shared" si="16"/>
        <v>#DIV/0!</v>
      </c>
      <c r="AI24" s="22" t="e">
        <f t="shared" si="17"/>
        <v>#DIV/0!</v>
      </c>
      <c r="AJ24" s="22" t="e">
        <f t="shared" si="18"/>
        <v>#DIV/0!</v>
      </c>
      <c r="AK24" s="61"/>
    </row>
    <row r="25" spans="1:37" x14ac:dyDescent="0.25">
      <c r="A25" s="35">
        <v>24</v>
      </c>
      <c r="B25" s="35">
        <v>24</v>
      </c>
      <c r="C25" s="35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56"/>
      <c r="U25" s="22" t="e">
        <f t="shared" si="3"/>
        <v>#DIV/0!</v>
      </c>
      <c r="V25" s="22" t="e">
        <f t="shared" si="4"/>
        <v>#DIV/0!</v>
      </c>
      <c r="W25" s="22" t="e">
        <f t="shared" si="5"/>
        <v>#DIV/0!</v>
      </c>
      <c r="X25" s="22" t="e">
        <f t="shared" si="6"/>
        <v>#DIV/0!</v>
      </c>
      <c r="Y25" s="22" t="e">
        <f t="shared" si="7"/>
        <v>#DIV/0!</v>
      </c>
      <c r="Z25" s="22" t="e">
        <f t="shared" si="8"/>
        <v>#DIV/0!</v>
      </c>
      <c r="AA25" s="22" t="e">
        <f t="shared" si="9"/>
        <v>#DIV/0!</v>
      </c>
      <c r="AB25" s="22" t="e">
        <f t="shared" si="10"/>
        <v>#DIV/0!</v>
      </c>
      <c r="AC25" s="22" t="e">
        <f t="shared" si="11"/>
        <v>#DIV/0!</v>
      </c>
      <c r="AD25" s="22" t="e">
        <f t="shared" si="12"/>
        <v>#DIV/0!</v>
      </c>
      <c r="AE25" s="22" t="e">
        <f t="shared" si="13"/>
        <v>#DIV/0!</v>
      </c>
      <c r="AF25" s="22" t="e">
        <f t="shared" si="14"/>
        <v>#DIV/0!</v>
      </c>
      <c r="AG25" s="22" t="e">
        <f t="shared" si="15"/>
        <v>#DIV/0!</v>
      </c>
      <c r="AH25" s="22" t="e">
        <f t="shared" si="16"/>
        <v>#DIV/0!</v>
      </c>
      <c r="AI25" s="22" t="e">
        <f t="shared" si="17"/>
        <v>#DIV/0!</v>
      </c>
      <c r="AJ25" s="22" t="e">
        <f t="shared" si="18"/>
        <v>#DIV/0!</v>
      </c>
      <c r="AK25" s="61"/>
    </row>
    <row r="26" spans="1:37" x14ac:dyDescent="0.25">
      <c r="A26" s="35">
        <v>25</v>
      </c>
      <c r="B26" s="35">
        <v>25</v>
      </c>
      <c r="C26" s="35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56"/>
      <c r="U26" s="22" t="e">
        <f t="shared" si="3"/>
        <v>#DIV/0!</v>
      </c>
      <c r="V26" s="22" t="e">
        <f t="shared" si="4"/>
        <v>#DIV/0!</v>
      </c>
      <c r="W26" s="22" t="e">
        <f t="shared" si="5"/>
        <v>#DIV/0!</v>
      </c>
      <c r="X26" s="22" t="e">
        <f t="shared" si="6"/>
        <v>#DIV/0!</v>
      </c>
      <c r="Y26" s="22" t="e">
        <f t="shared" si="7"/>
        <v>#DIV/0!</v>
      </c>
      <c r="Z26" s="22" t="e">
        <f t="shared" si="8"/>
        <v>#DIV/0!</v>
      </c>
      <c r="AA26" s="22" t="e">
        <f t="shared" si="9"/>
        <v>#DIV/0!</v>
      </c>
      <c r="AB26" s="22" t="e">
        <f t="shared" si="10"/>
        <v>#DIV/0!</v>
      </c>
      <c r="AC26" s="22" t="e">
        <f t="shared" si="11"/>
        <v>#DIV/0!</v>
      </c>
      <c r="AD26" s="22" t="e">
        <f t="shared" si="12"/>
        <v>#DIV/0!</v>
      </c>
      <c r="AE26" s="22" t="e">
        <f t="shared" si="13"/>
        <v>#DIV/0!</v>
      </c>
      <c r="AF26" s="22" t="e">
        <f t="shared" si="14"/>
        <v>#DIV/0!</v>
      </c>
      <c r="AG26" s="22" t="e">
        <f t="shared" si="15"/>
        <v>#DIV/0!</v>
      </c>
      <c r="AH26" s="22" t="e">
        <f t="shared" si="16"/>
        <v>#DIV/0!</v>
      </c>
      <c r="AI26" s="22" t="e">
        <f t="shared" si="17"/>
        <v>#DIV/0!</v>
      </c>
      <c r="AJ26" s="22" t="e">
        <f t="shared" si="18"/>
        <v>#DIV/0!</v>
      </c>
      <c r="AK26" s="61"/>
    </row>
    <row r="27" spans="1:37" x14ac:dyDescent="0.25">
      <c r="A27" s="35">
        <v>26</v>
      </c>
      <c r="B27" s="35">
        <v>26</v>
      </c>
      <c r="C27" s="35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56"/>
      <c r="U27" s="22" t="e">
        <f t="shared" si="3"/>
        <v>#DIV/0!</v>
      </c>
      <c r="V27" s="22" t="e">
        <f t="shared" si="4"/>
        <v>#DIV/0!</v>
      </c>
      <c r="W27" s="22" t="e">
        <f t="shared" si="5"/>
        <v>#DIV/0!</v>
      </c>
      <c r="X27" s="22" t="e">
        <f t="shared" si="6"/>
        <v>#DIV/0!</v>
      </c>
      <c r="Y27" s="22" t="e">
        <f t="shared" si="7"/>
        <v>#DIV/0!</v>
      </c>
      <c r="Z27" s="22" t="e">
        <f t="shared" si="8"/>
        <v>#DIV/0!</v>
      </c>
      <c r="AA27" s="22" t="e">
        <f t="shared" si="9"/>
        <v>#DIV/0!</v>
      </c>
      <c r="AB27" s="22" t="e">
        <f t="shared" si="10"/>
        <v>#DIV/0!</v>
      </c>
      <c r="AC27" s="22" t="e">
        <f t="shared" si="11"/>
        <v>#DIV/0!</v>
      </c>
      <c r="AD27" s="22" t="e">
        <f t="shared" si="12"/>
        <v>#DIV/0!</v>
      </c>
      <c r="AE27" s="22" t="e">
        <f t="shared" si="13"/>
        <v>#DIV/0!</v>
      </c>
      <c r="AF27" s="22" t="e">
        <f t="shared" si="14"/>
        <v>#DIV/0!</v>
      </c>
      <c r="AG27" s="22" t="e">
        <f t="shared" si="15"/>
        <v>#DIV/0!</v>
      </c>
      <c r="AH27" s="22" t="e">
        <f t="shared" si="16"/>
        <v>#DIV/0!</v>
      </c>
      <c r="AI27" s="22" t="e">
        <f t="shared" si="17"/>
        <v>#DIV/0!</v>
      </c>
      <c r="AJ27" s="22" t="e">
        <f t="shared" si="18"/>
        <v>#DIV/0!</v>
      </c>
      <c r="AK27" s="61"/>
    </row>
  </sheetData>
  <sortState ref="A2:S19">
    <sortCondition ref="B2:B19"/>
  </sortState>
  <dataValidations count="1">
    <dataValidation type="list" allowBlank="1" showInputMessage="1" showErrorMessage="1" sqref="C2:C1048576">
      <formula1>$AM$2:$AM$9</formula1>
    </dataValidation>
  </dataValidations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2:AK138"/>
  <sheetViews>
    <sheetView workbookViewId="0">
      <selection activeCell="V18" sqref="V18:AK72"/>
    </sheetView>
  </sheetViews>
  <sheetFormatPr defaultRowHeight="15" x14ac:dyDescent="0.25"/>
  <cols>
    <col min="2" max="2" width="19.85546875" style="446" customWidth="1"/>
    <col min="3" max="3" width="9.42578125" bestFit="1" customWidth="1"/>
    <col min="4" max="5" width="5.140625" bestFit="1" customWidth="1"/>
    <col min="6" max="6" width="3.85546875" customWidth="1"/>
    <col min="7" max="7" width="5.5703125" customWidth="1"/>
    <col min="8" max="8" width="5.7109375" customWidth="1"/>
    <col min="9" max="9" width="5.140625" bestFit="1" customWidth="1"/>
    <col min="10" max="10" width="4.28515625" customWidth="1"/>
    <col min="11" max="11" width="4.42578125" bestFit="1" customWidth="1"/>
    <col min="12" max="12" width="4.85546875" customWidth="1"/>
    <col min="13" max="18" width="3.85546875" customWidth="1"/>
    <col min="19" max="19" width="6.5703125" customWidth="1"/>
    <col min="20" max="20" width="6.85546875" customWidth="1"/>
    <col min="21" max="21" width="21.140625" customWidth="1"/>
    <col min="22" max="22" width="5.42578125" customWidth="1"/>
    <col min="23" max="27" width="5.140625" bestFit="1" customWidth="1"/>
    <col min="28" max="28" width="3.85546875" bestFit="1" customWidth="1"/>
    <col min="29" max="29" width="4.140625" bestFit="1" customWidth="1"/>
    <col min="30" max="30" width="5.140625" bestFit="1" customWidth="1"/>
    <col min="31" max="31" width="4.140625" bestFit="1" customWidth="1"/>
    <col min="32" max="32" width="4" customWidth="1"/>
    <col min="33" max="36" width="3.85546875" bestFit="1" customWidth="1"/>
    <col min="37" max="37" width="5.5703125" customWidth="1"/>
  </cols>
  <sheetData>
    <row r="2" spans="1:37" ht="61.5" customHeight="1" x14ac:dyDescent="0.25">
      <c r="A2" s="35"/>
      <c r="B2" s="552" t="s">
        <v>311</v>
      </c>
      <c r="C2" s="35" t="s">
        <v>310</v>
      </c>
      <c r="D2" s="59" t="str">
        <f>'boc xe'!U1</f>
        <v>bao 3dm3</v>
      </c>
      <c r="E2" s="59" t="str">
        <f>'boc xe'!V1</f>
        <v>bao 5dm3</v>
      </c>
      <c r="F2" s="59" t="str">
        <f>'boc xe'!W1</f>
        <v>bao 10dm3</v>
      </c>
      <c r="G2" s="59" t="str">
        <f>'boc xe'!X1</f>
        <v>bao 20dm3</v>
      </c>
      <c r="H2" s="59" t="str">
        <f>'boc xe'!Y1</f>
        <v>bao 40dm3</v>
      </c>
      <c r="I2" s="59" t="str">
        <f>'boc xe'!Z1</f>
        <v>bao 50dm3</v>
      </c>
      <c r="J2" s="59" t="str">
        <f>'boc xe'!AA1</f>
        <v>bao 100dm3</v>
      </c>
      <c r="K2" s="59" t="str">
        <f>'boc xe'!AB1</f>
        <v>bao 0,2kg</v>
      </c>
      <c r="L2" s="59" t="str">
        <f>'boc xe'!AC1</f>
        <v>bao 0,5 kg</v>
      </c>
      <c r="M2" s="59" t="str">
        <f>'boc xe'!AD1</f>
        <v>bao 01kg</v>
      </c>
      <c r="N2" s="59" t="str">
        <f>'boc xe'!AE1</f>
        <v>bao 10kg</v>
      </c>
      <c r="O2" s="59" t="str">
        <f>'boc xe'!AF1</f>
        <v>bao 25kg</v>
      </c>
      <c r="P2" s="59" t="str">
        <f>'boc xe'!AG1</f>
        <v>bao 35kg</v>
      </c>
      <c r="Q2" s="59" t="str">
        <f>'boc xe'!AH1</f>
        <v>bao 40kg</v>
      </c>
      <c r="R2" s="59" t="str">
        <f>'boc xe'!AI1</f>
        <v>bao 50kg</v>
      </c>
      <c r="S2" s="59" t="str">
        <f>'boc xe'!AJ1</f>
        <v>HÀNG LINH TINH</v>
      </c>
      <c r="U2" s="68"/>
      <c r="V2" s="59" t="str">
        <f t="shared" ref="V2:AK2" si="0">D2</f>
        <v>bao 3dm3</v>
      </c>
      <c r="W2" s="59" t="str">
        <f t="shared" si="0"/>
        <v>bao 5dm3</v>
      </c>
      <c r="X2" s="59" t="str">
        <f t="shared" si="0"/>
        <v>bao 10dm3</v>
      </c>
      <c r="Y2" s="59" t="str">
        <f t="shared" si="0"/>
        <v>bao 20dm3</v>
      </c>
      <c r="Z2" s="59" t="str">
        <f t="shared" si="0"/>
        <v>bao 40dm3</v>
      </c>
      <c r="AA2" s="59" t="str">
        <f t="shared" si="0"/>
        <v>bao 50dm3</v>
      </c>
      <c r="AB2" s="59" t="str">
        <f t="shared" si="0"/>
        <v>bao 100dm3</v>
      </c>
      <c r="AC2" s="59" t="str">
        <f t="shared" si="0"/>
        <v>bao 0,2kg</v>
      </c>
      <c r="AD2" s="59" t="str">
        <f t="shared" si="0"/>
        <v>bao 0,5 kg</v>
      </c>
      <c r="AE2" s="59" t="str">
        <f t="shared" si="0"/>
        <v>bao 01kg</v>
      </c>
      <c r="AF2" s="59" t="str">
        <f t="shared" si="0"/>
        <v>bao 10kg</v>
      </c>
      <c r="AG2" s="59" t="str">
        <f t="shared" si="0"/>
        <v>bao 25kg</v>
      </c>
      <c r="AH2" s="59" t="str">
        <f t="shared" si="0"/>
        <v>bao 35kg</v>
      </c>
      <c r="AI2" s="59" t="str">
        <f t="shared" si="0"/>
        <v>bao 40kg</v>
      </c>
      <c r="AJ2" s="59" t="str">
        <f t="shared" si="0"/>
        <v>bao 50kg</v>
      </c>
      <c r="AK2" s="59" t="str">
        <f t="shared" si="0"/>
        <v>HÀNG LINH TINH</v>
      </c>
    </row>
    <row r="3" spans="1:37" x14ac:dyDescent="0.25">
      <c r="A3" s="35">
        <v>1</v>
      </c>
      <c r="B3" s="543" t="s">
        <v>617</v>
      </c>
      <c r="C3" s="35">
        <v>1</v>
      </c>
      <c r="D3" s="22">
        <f>SUMIFS('boc xe'!U$2:U$27,'boc xe'!$B$2:$B$27,'chia CN boc xe'!$C3)</f>
        <v>0</v>
      </c>
      <c r="E3" s="419">
        <f>SUMIFS('boc xe'!V$2:V$27,'boc xe'!$B$2:$B$27,'chia CN boc xe'!$C3)</f>
        <v>0</v>
      </c>
      <c r="F3" s="419">
        <f>SUMIFS('boc xe'!W$2:W$27,'boc xe'!$B$2:$B$27,'chia CN boc xe'!$C3)</f>
        <v>0</v>
      </c>
      <c r="G3" s="419">
        <f>SUMIFS('boc xe'!X$2:X$27,'boc xe'!$B$2:$B$27,'chia CN boc xe'!$C3)</f>
        <v>5</v>
      </c>
      <c r="H3" s="419">
        <f>SUMIFS('boc xe'!Y$2:Y$27,'boc xe'!$B$2:$B$27,'chia CN boc xe'!$C3)</f>
        <v>0</v>
      </c>
      <c r="I3" s="419">
        <f>SUMIFS('boc xe'!Z$2:Z$27,'boc xe'!$B$2:$B$27,'chia CN boc xe'!$C3)</f>
        <v>36.666666666666664</v>
      </c>
      <c r="J3" s="419">
        <f>SUMIFS('boc xe'!AA$2:AA$27,'boc xe'!$B$2:$B$27,'chia CN boc xe'!$C3)</f>
        <v>0</v>
      </c>
      <c r="K3" s="419">
        <f>SUMIFS('boc xe'!AB$2:AB$27,'boc xe'!$B$2:$B$27,'chia CN boc xe'!$C3)</f>
        <v>0</v>
      </c>
      <c r="L3" s="419">
        <f>SUMIFS('boc xe'!AC$2:AC$27,'boc xe'!$B$2:$B$27,'chia CN boc xe'!$C3)</f>
        <v>0</v>
      </c>
      <c r="M3" s="419">
        <f>SUMIFS('boc xe'!AD$2:AD$27,'boc xe'!$B$2:$B$27,'chia CN boc xe'!$C3)</f>
        <v>0</v>
      </c>
      <c r="N3" s="419">
        <f>SUMIFS('boc xe'!AE$2:AE$27,'boc xe'!$B$2:$B$27,'chia CN boc xe'!$C3)</f>
        <v>16.666666666666668</v>
      </c>
      <c r="O3" s="419">
        <f>SUMIFS('boc xe'!AF$2:AF$27,'boc xe'!$B$2:$B$27,'chia CN boc xe'!$C3)</f>
        <v>0</v>
      </c>
      <c r="P3" s="419">
        <f>SUMIFS('boc xe'!AG$2:AG$27,'boc xe'!$B$2:$B$27,'chia CN boc xe'!$C3)</f>
        <v>0</v>
      </c>
      <c r="Q3" s="419">
        <f>SUMIFS('boc xe'!AH$2:AH$27,'boc xe'!$B$2:$B$27,'chia CN boc xe'!$C3)</f>
        <v>4.166666666666667</v>
      </c>
      <c r="R3" s="419">
        <f>SUMIFS('boc xe'!AI$2:AI$27,'boc xe'!$B$2:$B$27,'chia CN boc xe'!$C3)</f>
        <v>0</v>
      </c>
      <c r="S3" s="419">
        <f>SUMIFS('boc xe'!AJ$2:AJ$27,'boc xe'!$B$2:$B$27,'chia CN boc xe'!$C3)</f>
        <v>0</v>
      </c>
      <c r="U3" s="67" t="e">
        <f>'BANG LUONG 1'!#REF!</f>
        <v>#REF!</v>
      </c>
      <c r="V3" s="69">
        <f t="shared" ref="V3:V34" si="1">SUMIF($B$3:$B$131,$U3,D$3:D$131)</f>
        <v>0</v>
      </c>
      <c r="W3" s="69">
        <f t="shared" ref="W3:W34" si="2">SUMIF($B$3:$B$131,$U3,E$3:E$131)</f>
        <v>0</v>
      </c>
      <c r="X3" s="69">
        <f t="shared" ref="X3:X34" si="3">SUMIF($B$3:$B$131,$U3,F$3:F$131)</f>
        <v>0</v>
      </c>
      <c r="Y3" s="69">
        <f t="shared" ref="Y3:Y34" si="4">SUMIF($B$3:$B$131,$U3,G$3:G$131)</f>
        <v>0</v>
      </c>
      <c r="Z3" s="69">
        <f t="shared" ref="Z3:Z34" si="5">SUMIF($B$3:$B$131,$U3,H$3:H$131)</f>
        <v>0</v>
      </c>
      <c r="AA3" s="69">
        <f t="shared" ref="AA3:AA34" si="6">SUMIF($B$3:$B$131,$U3,I$3:I$131)</f>
        <v>0</v>
      </c>
      <c r="AB3" s="69">
        <f t="shared" ref="AB3:AB34" si="7">SUMIF($B$3:$B$131,$U3,J$3:J$131)</f>
        <v>0</v>
      </c>
      <c r="AC3" s="69">
        <f t="shared" ref="AC3:AC34" si="8">SUMIF($B$3:$B$131,$U3,K$3:K$131)</f>
        <v>0</v>
      </c>
      <c r="AD3" s="69">
        <f t="shared" ref="AD3:AD34" si="9">SUMIF($B$3:$B$131,$U3,L$3:L$131)</f>
        <v>0</v>
      </c>
      <c r="AE3" s="69">
        <f t="shared" ref="AE3:AE34" si="10">SUMIF($B$3:$B$131,$U3,M$3:M$131)</f>
        <v>0</v>
      </c>
      <c r="AF3" s="69">
        <f t="shared" ref="AF3:AF34" si="11">SUMIF($B$3:$B$131,$U3,N$3:N$131)</f>
        <v>0</v>
      </c>
      <c r="AG3" s="69">
        <f t="shared" ref="AG3:AG34" si="12">SUMIF($B$3:$B$131,$U3,O$3:O$131)</f>
        <v>0</v>
      </c>
      <c r="AH3" s="69">
        <f t="shared" ref="AH3:AH34" si="13">SUMIF($B$3:$B$131,$U3,P$3:P$131)</f>
        <v>0</v>
      </c>
      <c r="AI3" s="69">
        <f t="shared" ref="AI3:AI34" si="14">SUMIF($B$3:$B$131,$U3,Q$3:Q$131)</f>
        <v>0</v>
      </c>
      <c r="AJ3" s="69">
        <f t="shared" ref="AJ3:AJ34" si="15">SUMIF($B$3:$B$131,$U3,R$3:R$131)</f>
        <v>0</v>
      </c>
      <c r="AK3" s="69">
        <f t="shared" ref="AK3:AK34" si="16">SUMIF($B$3:$B$131,$U3,S$3:S$131)</f>
        <v>0</v>
      </c>
    </row>
    <row r="4" spans="1:37" x14ac:dyDescent="0.25">
      <c r="A4" s="35">
        <v>2</v>
      </c>
      <c r="B4" s="543" t="s">
        <v>618</v>
      </c>
      <c r="C4" s="421">
        <v>1</v>
      </c>
      <c r="D4" s="419">
        <f>SUMIFS('boc xe'!U$2:U$27,'boc xe'!$B$2:$B$27,'chia CN boc xe'!$C4)</f>
        <v>0</v>
      </c>
      <c r="E4" s="419">
        <f>SUMIFS('boc xe'!V$2:V$27,'boc xe'!$B$2:$B$27,'chia CN boc xe'!$C4)</f>
        <v>0</v>
      </c>
      <c r="F4" s="419">
        <f>SUMIFS('boc xe'!W$2:W$27,'boc xe'!$B$2:$B$27,'chia CN boc xe'!$C4)</f>
        <v>0</v>
      </c>
      <c r="G4" s="419">
        <f>SUMIFS('boc xe'!X$2:X$27,'boc xe'!$B$2:$B$27,'chia CN boc xe'!$C4)</f>
        <v>5</v>
      </c>
      <c r="H4" s="419">
        <f>SUMIFS('boc xe'!Y$2:Y$27,'boc xe'!$B$2:$B$27,'chia CN boc xe'!$C4)</f>
        <v>0</v>
      </c>
      <c r="I4" s="419">
        <f>SUMIFS('boc xe'!Z$2:Z$27,'boc xe'!$B$2:$B$27,'chia CN boc xe'!$C4)</f>
        <v>36.666666666666664</v>
      </c>
      <c r="J4" s="419">
        <f>SUMIFS('boc xe'!AA$2:AA$27,'boc xe'!$B$2:$B$27,'chia CN boc xe'!$C4)</f>
        <v>0</v>
      </c>
      <c r="K4" s="419">
        <f>SUMIFS('boc xe'!AB$2:AB$27,'boc xe'!$B$2:$B$27,'chia CN boc xe'!$C4)</f>
        <v>0</v>
      </c>
      <c r="L4" s="419">
        <f>SUMIFS('boc xe'!AC$2:AC$27,'boc xe'!$B$2:$B$27,'chia CN boc xe'!$C4)</f>
        <v>0</v>
      </c>
      <c r="M4" s="419">
        <f>SUMIFS('boc xe'!AD$2:AD$27,'boc xe'!$B$2:$B$27,'chia CN boc xe'!$C4)</f>
        <v>0</v>
      </c>
      <c r="N4" s="419">
        <f>SUMIFS('boc xe'!AE$2:AE$27,'boc xe'!$B$2:$B$27,'chia CN boc xe'!$C4)</f>
        <v>16.666666666666668</v>
      </c>
      <c r="O4" s="419">
        <f>SUMIFS('boc xe'!AF$2:AF$27,'boc xe'!$B$2:$B$27,'chia CN boc xe'!$C4)</f>
        <v>0</v>
      </c>
      <c r="P4" s="419">
        <f>SUMIFS('boc xe'!AG$2:AG$27,'boc xe'!$B$2:$B$27,'chia CN boc xe'!$C4)</f>
        <v>0</v>
      </c>
      <c r="Q4" s="419">
        <f>SUMIFS('boc xe'!AH$2:AH$27,'boc xe'!$B$2:$B$27,'chia CN boc xe'!$C4)</f>
        <v>4.166666666666667</v>
      </c>
      <c r="R4" s="419">
        <f>SUMIFS('boc xe'!AI$2:AI$27,'boc xe'!$B$2:$B$27,'chia CN boc xe'!$C4)</f>
        <v>0</v>
      </c>
      <c r="S4" s="419">
        <f>SUMIFS('boc xe'!AJ$2:AJ$27,'boc xe'!$B$2:$B$27,'chia CN boc xe'!$C4)</f>
        <v>0</v>
      </c>
      <c r="U4" s="67" t="e">
        <f>'BANG LUONG 1'!#REF!</f>
        <v>#REF!</v>
      </c>
      <c r="V4" s="69">
        <f t="shared" si="1"/>
        <v>0</v>
      </c>
      <c r="W4" s="69">
        <f t="shared" si="2"/>
        <v>0</v>
      </c>
      <c r="X4" s="69">
        <f t="shared" si="3"/>
        <v>0</v>
      </c>
      <c r="Y4" s="69">
        <f t="shared" si="4"/>
        <v>0</v>
      </c>
      <c r="Z4" s="69">
        <f t="shared" si="5"/>
        <v>0</v>
      </c>
      <c r="AA4" s="69">
        <f t="shared" si="6"/>
        <v>0</v>
      </c>
      <c r="AB4" s="69">
        <f t="shared" si="7"/>
        <v>0</v>
      </c>
      <c r="AC4" s="69">
        <f t="shared" si="8"/>
        <v>0</v>
      </c>
      <c r="AD4" s="69">
        <f t="shared" si="9"/>
        <v>0</v>
      </c>
      <c r="AE4" s="69">
        <f t="shared" si="10"/>
        <v>0</v>
      </c>
      <c r="AF4" s="69">
        <f t="shared" si="11"/>
        <v>0</v>
      </c>
      <c r="AG4" s="69">
        <f t="shared" si="12"/>
        <v>0</v>
      </c>
      <c r="AH4" s="69">
        <f t="shared" si="13"/>
        <v>0</v>
      </c>
      <c r="AI4" s="69">
        <f t="shared" si="14"/>
        <v>0</v>
      </c>
      <c r="AJ4" s="69">
        <f t="shared" si="15"/>
        <v>0</v>
      </c>
      <c r="AK4" s="69">
        <f t="shared" si="16"/>
        <v>0</v>
      </c>
    </row>
    <row r="5" spans="1:37" x14ac:dyDescent="0.25">
      <c r="A5" s="35">
        <v>3</v>
      </c>
      <c r="B5" s="543" t="s">
        <v>620</v>
      </c>
      <c r="C5" s="421">
        <v>1</v>
      </c>
      <c r="D5" s="419">
        <f>SUMIFS('boc xe'!U$2:U$27,'boc xe'!$B$2:$B$27,'chia CN boc xe'!$C5)</f>
        <v>0</v>
      </c>
      <c r="E5" s="419">
        <f>SUMIFS('boc xe'!V$2:V$27,'boc xe'!$B$2:$B$27,'chia CN boc xe'!$C5)</f>
        <v>0</v>
      </c>
      <c r="F5" s="419">
        <f>SUMIFS('boc xe'!W$2:W$27,'boc xe'!$B$2:$B$27,'chia CN boc xe'!$C5)</f>
        <v>0</v>
      </c>
      <c r="G5" s="419">
        <f>SUMIFS('boc xe'!X$2:X$27,'boc xe'!$B$2:$B$27,'chia CN boc xe'!$C5)</f>
        <v>5</v>
      </c>
      <c r="H5" s="419">
        <f>SUMIFS('boc xe'!Y$2:Y$27,'boc xe'!$B$2:$B$27,'chia CN boc xe'!$C5)</f>
        <v>0</v>
      </c>
      <c r="I5" s="419">
        <f>SUMIFS('boc xe'!Z$2:Z$27,'boc xe'!$B$2:$B$27,'chia CN boc xe'!$C5)</f>
        <v>36.666666666666664</v>
      </c>
      <c r="J5" s="419">
        <f>SUMIFS('boc xe'!AA$2:AA$27,'boc xe'!$B$2:$B$27,'chia CN boc xe'!$C5)</f>
        <v>0</v>
      </c>
      <c r="K5" s="419">
        <f>SUMIFS('boc xe'!AB$2:AB$27,'boc xe'!$B$2:$B$27,'chia CN boc xe'!$C5)</f>
        <v>0</v>
      </c>
      <c r="L5" s="419">
        <f>SUMIFS('boc xe'!AC$2:AC$27,'boc xe'!$B$2:$B$27,'chia CN boc xe'!$C5)</f>
        <v>0</v>
      </c>
      <c r="M5" s="419">
        <f>SUMIFS('boc xe'!AD$2:AD$27,'boc xe'!$B$2:$B$27,'chia CN boc xe'!$C5)</f>
        <v>0</v>
      </c>
      <c r="N5" s="419">
        <f>SUMIFS('boc xe'!AE$2:AE$27,'boc xe'!$B$2:$B$27,'chia CN boc xe'!$C5)</f>
        <v>16.666666666666668</v>
      </c>
      <c r="O5" s="419">
        <f>SUMIFS('boc xe'!AF$2:AF$27,'boc xe'!$B$2:$B$27,'chia CN boc xe'!$C5)</f>
        <v>0</v>
      </c>
      <c r="P5" s="419">
        <f>SUMIFS('boc xe'!AG$2:AG$27,'boc xe'!$B$2:$B$27,'chia CN boc xe'!$C5)</f>
        <v>0</v>
      </c>
      <c r="Q5" s="419">
        <f>SUMIFS('boc xe'!AH$2:AH$27,'boc xe'!$B$2:$B$27,'chia CN boc xe'!$C5)</f>
        <v>4.166666666666667</v>
      </c>
      <c r="R5" s="419">
        <f>SUMIFS('boc xe'!AI$2:AI$27,'boc xe'!$B$2:$B$27,'chia CN boc xe'!$C5)</f>
        <v>0</v>
      </c>
      <c r="S5" s="419">
        <f>SUMIFS('boc xe'!AJ$2:AJ$27,'boc xe'!$B$2:$B$27,'chia CN boc xe'!$C5)</f>
        <v>0</v>
      </c>
      <c r="U5" s="67" t="e">
        <f>'BANG LUONG 1'!#REF!</f>
        <v>#REF!</v>
      </c>
      <c r="V5" s="69">
        <f t="shared" si="1"/>
        <v>0</v>
      </c>
      <c r="W5" s="69">
        <f t="shared" si="2"/>
        <v>0</v>
      </c>
      <c r="X5" s="69">
        <f t="shared" si="3"/>
        <v>0</v>
      </c>
      <c r="Y5" s="69">
        <f t="shared" si="4"/>
        <v>0</v>
      </c>
      <c r="Z5" s="69">
        <f t="shared" si="5"/>
        <v>0</v>
      </c>
      <c r="AA5" s="69">
        <f t="shared" si="6"/>
        <v>0</v>
      </c>
      <c r="AB5" s="69">
        <f t="shared" si="7"/>
        <v>0</v>
      </c>
      <c r="AC5" s="69">
        <f t="shared" si="8"/>
        <v>0</v>
      </c>
      <c r="AD5" s="69">
        <f t="shared" si="9"/>
        <v>0</v>
      </c>
      <c r="AE5" s="69">
        <f t="shared" si="10"/>
        <v>0</v>
      </c>
      <c r="AF5" s="69">
        <f t="shared" si="11"/>
        <v>0</v>
      </c>
      <c r="AG5" s="69">
        <f t="shared" si="12"/>
        <v>0</v>
      </c>
      <c r="AH5" s="69">
        <f t="shared" si="13"/>
        <v>0</v>
      </c>
      <c r="AI5" s="69">
        <f t="shared" si="14"/>
        <v>0</v>
      </c>
      <c r="AJ5" s="69">
        <f t="shared" si="15"/>
        <v>0</v>
      </c>
      <c r="AK5" s="69">
        <f t="shared" si="16"/>
        <v>0</v>
      </c>
    </row>
    <row r="6" spans="1:37" x14ac:dyDescent="0.25">
      <c r="A6" s="421">
        <v>4</v>
      </c>
      <c r="B6" s="545" t="s">
        <v>742</v>
      </c>
      <c r="C6" s="421">
        <v>1</v>
      </c>
      <c r="D6" s="419">
        <f>SUMIFS('boc xe'!U$2:U$27,'boc xe'!$B$2:$B$27,'chia CN boc xe'!$C6)</f>
        <v>0</v>
      </c>
      <c r="E6" s="419">
        <f>SUMIFS('boc xe'!V$2:V$27,'boc xe'!$B$2:$B$27,'chia CN boc xe'!$C6)</f>
        <v>0</v>
      </c>
      <c r="F6" s="419">
        <f>SUMIFS('boc xe'!W$2:W$27,'boc xe'!$B$2:$B$27,'chia CN boc xe'!$C6)</f>
        <v>0</v>
      </c>
      <c r="G6" s="419">
        <f>SUMIFS('boc xe'!X$2:X$27,'boc xe'!$B$2:$B$27,'chia CN boc xe'!$C6)</f>
        <v>5</v>
      </c>
      <c r="H6" s="419">
        <f>SUMIFS('boc xe'!Y$2:Y$27,'boc xe'!$B$2:$B$27,'chia CN boc xe'!$C6)</f>
        <v>0</v>
      </c>
      <c r="I6" s="419">
        <f>SUMIFS('boc xe'!Z$2:Z$27,'boc xe'!$B$2:$B$27,'chia CN boc xe'!$C6)</f>
        <v>36.666666666666664</v>
      </c>
      <c r="J6" s="419">
        <f>SUMIFS('boc xe'!AA$2:AA$27,'boc xe'!$B$2:$B$27,'chia CN boc xe'!$C6)</f>
        <v>0</v>
      </c>
      <c r="K6" s="419">
        <f>SUMIFS('boc xe'!AB$2:AB$27,'boc xe'!$B$2:$B$27,'chia CN boc xe'!$C6)</f>
        <v>0</v>
      </c>
      <c r="L6" s="419">
        <f>SUMIFS('boc xe'!AC$2:AC$27,'boc xe'!$B$2:$B$27,'chia CN boc xe'!$C6)</f>
        <v>0</v>
      </c>
      <c r="M6" s="419">
        <f>SUMIFS('boc xe'!AD$2:AD$27,'boc xe'!$B$2:$B$27,'chia CN boc xe'!$C6)</f>
        <v>0</v>
      </c>
      <c r="N6" s="419">
        <f>SUMIFS('boc xe'!AE$2:AE$27,'boc xe'!$B$2:$B$27,'chia CN boc xe'!$C6)</f>
        <v>16.666666666666668</v>
      </c>
      <c r="O6" s="419">
        <f>SUMIFS('boc xe'!AF$2:AF$27,'boc xe'!$B$2:$B$27,'chia CN boc xe'!$C6)</f>
        <v>0</v>
      </c>
      <c r="P6" s="419">
        <f>SUMIFS('boc xe'!AG$2:AG$27,'boc xe'!$B$2:$B$27,'chia CN boc xe'!$C6)</f>
        <v>0</v>
      </c>
      <c r="Q6" s="419">
        <f>SUMIFS('boc xe'!AH$2:AH$27,'boc xe'!$B$2:$B$27,'chia CN boc xe'!$C6)</f>
        <v>4.166666666666667</v>
      </c>
      <c r="R6" s="419">
        <f>SUMIFS('boc xe'!AI$2:AI$27,'boc xe'!$B$2:$B$27,'chia CN boc xe'!$C6)</f>
        <v>0</v>
      </c>
      <c r="S6" s="419">
        <f>SUMIFS('boc xe'!AJ$2:AJ$27,'boc xe'!$B$2:$B$27,'chia CN boc xe'!$C6)</f>
        <v>0</v>
      </c>
      <c r="U6" s="67" t="str">
        <f>'BANG LUONG 1'!C28</f>
        <v>Lê Tấn Phát</v>
      </c>
      <c r="V6" s="69">
        <f t="shared" si="1"/>
        <v>0</v>
      </c>
      <c r="W6" s="69">
        <f t="shared" si="2"/>
        <v>0</v>
      </c>
      <c r="X6" s="69">
        <f t="shared" si="3"/>
        <v>0</v>
      </c>
      <c r="Y6" s="69">
        <f t="shared" si="4"/>
        <v>0</v>
      </c>
      <c r="Z6" s="69">
        <f t="shared" si="5"/>
        <v>0</v>
      </c>
      <c r="AA6" s="69">
        <f t="shared" si="6"/>
        <v>0</v>
      </c>
      <c r="AB6" s="69">
        <f t="shared" si="7"/>
        <v>0</v>
      </c>
      <c r="AC6" s="69">
        <f t="shared" si="8"/>
        <v>0</v>
      </c>
      <c r="AD6" s="69">
        <f t="shared" si="9"/>
        <v>0</v>
      </c>
      <c r="AE6" s="69">
        <f t="shared" si="10"/>
        <v>0</v>
      </c>
      <c r="AF6" s="69">
        <f t="shared" si="11"/>
        <v>0</v>
      </c>
      <c r="AG6" s="69">
        <f t="shared" si="12"/>
        <v>0</v>
      </c>
      <c r="AH6" s="69">
        <f t="shared" si="13"/>
        <v>0</v>
      </c>
      <c r="AI6" s="69">
        <f t="shared" si="14"/>
        <v>0</v>
      </c>
      <c r="AJ6" s="69">
        <f t="shared" si="15"/>
        <v>0</v>
      </c>
      <c r="AK6" s="69">
        <f t="shared" si="16"/>
        <v>0</v>
      </c>
    </row>
    <row r="7" spans="1:37" x14ac:dyDescent="0.25">
      <c r="A7" s="421">
        <v>5</v>
      </c>
      <c r="B7" s="545" t="s">
        <v>746</v>
      </c>
      <c r="C7" s="421">
        <v>1</v>
      </c>
      <c r="D7" s="419">
        <f>SUMIFS('boc xe'!U$2:U$27,'boc xe'!$B$2:$B$27,'chia CN boc xe'!$C7)</f>
        <v>0</v>
      </c>
      <c r="E7" s="419">
        <f>SUMIFS('boc xe'!V$2:V$27,'boc xe'!$B$2:$B$27,'chia CN boc xe'!$C7)</f>
        <v>0</v>
      </c>
      <c r="F7" s="419">
        <f>SUMIFS('boc xe'!W$2:W$27,'boc xe'!$B$2:$B$27,'chia CN boc xe'!$C7)</f>
        <v>0</v>
      </c>
      <c r="G7" s="419">
        <f>SUMIFS('boc xe'!X$2:X$27,'boc xe'!$B$2:$B$27,'chia CN boc xe'!$C7)</f>
        <v>5</v>
      </c>
      <c r="H7" s="419">
        <f>SUMIFS('boc xe'!Y$2:Y$27,'boc xe'!$B$2:$B$27,'chia CN boc xe'!$C7)</f>
        <v>0</v>
      </c>
      <c r="I7" s="419">
        <f>SUMIFS('boc xe'!Z$2:Z$27,'boc xe'!$B$2:$B$27,'chia CN boc xe'!$C7)</f>
        <v>36.666666666666664</v>
      </c>
      <c r="J7" s="419">
        <f>SUMIFS('boc xe'!AA$2:AA$27,'boc xe'!$B$2:$B$27,'chia CN boc xe'!$C7)</f>
        <v>0</v>
      </c>
      <c r="K7" s="419">
        <f>SUMIFS('boc xe'!AB$2:AB$27,'boc xe'!$B$2:$B$27,'chia CN boc xe'!$C7)</f>
        <v>0</v>
      </c>
      <c r="L7" s="419">
        <f>SUMIFS('boc xe'!AC$2:AC$27,'boc xe'!$B$2:$B$27,'chia CN boc xe'!$C7)</f>
        <v>0</v>
      </c>
      <c r="M7" s="419">
        <f>SUMIFS('boc xe'!AD$2:AD$27,'boc xe'!$B$2:$B$27,'chia CN boc xe'!$C7)</f>
        <v>0</v>
      </c>
      <c r="N7" s="419">
        <f>SUMIFS('boc xe'!AE$2:AE$27,'boc xe'!$B$2:$B$27,'chia CN boc xe'!$C7)</f>
        <v>16.666666666666668</v>
      </c>
      <c r="O7" s="419">
        <f>SUMIFS('boc xe'!AF$2:AF$27,'boc xe'!$B$2:$B$27,'chia CN boc xe'!$C7)</f>
        <v>0</v>
      </c>
      <c r="P7" s="419">
        <f>SUMIFS('boc xe'!AG$2:AG$27,'boc xe'!$B$2:$B$27,'chia CN boc xe'!$C7)</f>
        <v>0</v>
      </c>
      <c r="Q7" s="419">
        <f>SUMIFS('boc xe'!AH$2:AH$27,'boc xe'!$B$2:$B$27,'chia CN boc xe'!$C7)</f>
        <v>4.166666666666667</v>
      </c>
      <c r="R7" s="419">
        <f>SUMIFS('boc xe'!AI$2:AI$27,'boc xe'!$B$2:$B$27,'chia CN boc xe'!$C7)</f>
        <v>0</v>
      </c>
      <c r="S7" s="419">
        <f>SUMIFS('boc xe'!AJ$2:AJ$27,'boc xe'!$B$2:$B$27,'chia CN boc xe'!$C7)</f>
        <v>0</v>
      </c>
      <c r="U7" s="67" t="str">
        <f>'BANG LUONG 1'!C20</f>
        <v>Triệu Minh Tú</v>
      </c>
      <c r="V7" s="69">
        <f t="shared" si="1"/>
        <v>0</v>
      </c>
      <c r="W7" s="69">
        <f t="shared" si="2"/>
        <v>0</v>
      </c>
      <c r="X7" s="69">
        <f t="shared" si="3"/>
        <v>0</v>
      </c>
      <c r="Y7" s="69">
        <f t="shared" si="4"/>
        <v>0</v>
      </c>
      <c r="Z7" s="69">
        <f t="shared" si="5"/>
        <v>0</v>
      </c>
      <c r="AA7" s="69">
        <f t="shared" si="6"/>
        <v>0</v>
      </c>
      <c r="AB7" s="69">
        <f t="shared" si="7"/>
        <v>0</v>
      </c>
      <c r="AC7" s="69">
        <f t="shared" si="8"/>
        <v>0</v>
      </c>
      <c r="AD7" s="69">
        <f t="shared" si="9"/>
        <v>0</v>
      </c>
      <c r="AE7" s="69">
        <f t="shared" si="10"/>
        <v>0</v>
      </c>
      <c r="AF7" s="69">
        <f t="shared" si="11"/>
        <v>0</v>
      </c>
      <c r="AG7" s="69">
        <f t="shared" si="12"/>
        <v>0</v>
      </c>
      <c r="AH7" s="69">
        <f t="shared" si="13"/>
        <v>0</v>
      </c>
      <c r="AI7" s="69">
        <f t="shared" si="14"/>
        <v>0</v>
      </c>
      <c r="AJ7" s="69">
        <f t="shared" si="15"/>
        <v>0</v>
      </c>
      <c r="AK7" s="69">
        <f t="shared" si="16"/>
        <v>0</v>
      </c>
    </row>
    <row r="8" spans="1:37" x14ac:dyDescent="0.25">
      <c r="A8" s="421">
        <v>6</v>
      </c>
      <c r="B8" s="542" t="s">
        <v>751</v>
      </c>
      <c r="C8" s="421">
        <v>1</v>
      </c>
      <c r="D8" s="419">
        <f>SUMIFS('boc xe'!U$2:U$27,'boc xe'!$B$2:$B$27,'chia CN boc xe'!$C8)</f>
        <v>0</v>
      </c>
      <c r="E8" s="419">
        <f>SUMIFS('boc xe'!V$2:V$27,'boc xe'!$B$2:$B$27,'chia CN boc xe'!$C8)</f>
        <v>0</v>
      </c>
      <c r="F8" s="419">
        <f>SUMIFS('boc xe'!W$2:W$27,'boc xe'!$B$2:$B$27,'chia CN boc xe'!$C8)</f>
        <v>0</v>
      </c>
      <c r="G8" s="419">
        <f>SUMIFS('boc xe'!X$2:X$27,'boc xe'!$B$2:$B$27,'chia CN boc xe'!$C8)</f>
        <v>5</v>
      </c>
      <c r="H8" s="419">
        <f>SUMIFS('boc xe'!Y$2:Y$27,'boc xe'!$B$2:$B$27,'chia CN boc xe'!$C8)</f>
        <v>0</v>
      </c>
      <c r="I8" s="419">
        <f>SUMIFS('boc xe'!Z$2:Z$27,'boc xe'!$B$2:$B$27,'chia CN boc xe'!$C8)</f>
        <v>36.666666666666664</v>
      </c>
      <c r="J8" s="419">
        <f>SUMIFS('boc xe'!AA$2:AA$27,'boc xe'!$B$2:$B$27,'chia CN boc xe'!$C8)</f>
        <v>0</v>
      </c>
      <c r="K8" s="419">
        <f>SUMIFS('boc xe'!AB$2:AB$27,'boc xe'!$B$2:$B$27,'chia CN boc xe'!$C8)</f>
        <v>0</v>
      </c>
      <c r="L8" s="419">
        <f>SUMIFS('boc xe'!AC$2:AC$27,'boc xe'!$B$2:$B$27,'chia CN boc xe'!$C8)</f>
        <v>0</v>
      </c>
      <c r="M8" s="419">
        <f>SUMIFS('boc xe'!AD$2:AD$27,'boc xe'!$B$2:$B$27,'chia CN boc xe'!$C8)</f>
        <v>0</v>
      </c>
      <c r="N8" s="419">
        <f>SUMIFS('boc xe'!AE$2:AE$27,'boc xe'!$B$2:$B$27,'chia CN boc xe'!$C8)</f>
        <v>16.666666666666668</v>
      </c>
      <c r="O8" s="419">
        <f>SUMIFS('boc xe'!AF$2:AF$27,'boc xe'!$B$2:$B$27,'chia CN boc xe'!$C8)</f>
        <v>0</v>
      </c>
      <c r="P8" s="419">
        <f>SUMIFS('boc xe'!AG$2:AG$27,'boc xe'!$B$2:$B$27,'chia CN boc xe'!$C8)</f>
        <v>0</v>
      </c>
      <c r="Q8" s="419">
        <f>SUMIFS('boc xe'!AH$2:AH$27,'boc xe'!$B$2:$B$27,'chia CN boc xe'!$C8)</f>
        <v>4.166666666666667</v>
      </c>
      <c r="R8" s="419">
        <f>SUMIFS('boc xe'!AI$2:AI$27,'boc xe'!$B$2:$B$27,'chia CN boc xe'!$C8)</f>
        <v>0</v>
      </c>
      <c r="S8" s="419">
        <f>SUMIFS('boc xe'!AJ$2:AJ$27,'boc xe'!$B$2:$B$27,'chia CN boc xe'!$C8)</f>
        <v>0</v>
      </c>
      <c r="U8" s="67" t="e">
        <f>'BANG LUONG 1'!#REF!</f>
        <v>#REF!</v>
      </c>
      <c r="V8" s="69">
        <f t="shared" si="1"/>
        <v>0</v>
      </c>
      <c r="W8" s="69">
        <f t="shared" si="2"/>
        <v>0</v>
      </c>
      <c r="X8" s="69">
        <f t="shared" si="3"/>
        <v>0</v>
      </c>
      <c r="Y8" s="69">
        <f t="shared" si="4"/>
        <v>0</v>
      </c>
      <c r="Z8" s="69">
        <f t="shared" si="5"/>
        <v>0</v>
      </c>
      <c r="AA8" s="69">
        <f t="shared" si="6"/>
        <v>0</v>
      </c>
      <c r="AB8" s="69">
        <f t="shared" si="7"/>
        <v>0</v>
      </c>
      <c r="AC8" s="69">
        <f t="shared" si="8"/>
        <v>0</v>
      </c>
      <c r="AD8" s="69">
        <f t="shared" si="9"/>
        <v>0</v>
      </c>
      <c r="AE8" s="69">
        <f t="shared" si="10"/>
        <v>0</v>
      </c>
      <c r="AF8" s="69">
        <f t="shared" si="11"/>
        <v>0</v>
      </c>
      <c r="AG8" s="69">
        <f t="shared" si="12"/>
        <v>0</v>
      </c>
      <c r="AH8" s="69">
        <f t="shared" si="13"/>
        <v>0</v>
      </c>
      <c r="AI8" s="69">
        <f t="shared" si="14"/>
        <v>0</v>
      </c>
      <c r="AJ8" s="69">
        <f t="shared" si="15"/>
        <v>0</v>
      </c>
      <c r="AK8" s="69">
        <f t="shared" si="16"/>
        <v>0</v>
      </c>
    </row>
    <row r="9" spans="1:37" x14ac:dyDescent="0.25">
      <c r="A9" s="421">
        <v>7</v>
      </c>
      <c r="B9" s="543" t="s">
        <v>617</v>
      </c>
      <c r="C9" s="421">
        <v>2</v>
      </c>
      <c r="D9" s="419">
        <f>SUMIFS('boc xe'!U$2:U$27,'boc xe'!$B$2:$B$27,'chia CN boc xe'!$C9)</f>
        <v>0</v>
      </c>
      <c r="E9" s="419">
        <f>SUMIFS('boc xe'!V$2:V$27,'boc xe'!$B$2:$B$27,'chia CN boc xe'!$C9)</f>
        <v>0</v>
      </c>
      <c r="F9" s="419">
        <f>SUMIFS('boc xe'!W$2:W$27,'boc xe'!$B$2:$B$27,'chia CN boc xe'!$C9)</f>
        <v>0</v>
      </c>
      <c r="G9" s="419">
        <f>SUMIFS('boc xe'!X$2:X$27,'boc xe'!$B$2:$B$27,'chia CN boc xe'!$C9)</f>
        <v>16.666666666666668</v>
      </c>
      <c r="H9" s="419">
        <f>SUMIFS('boc xe'!Y$2:Y$27,'boc xe'!$B$2:$B$27,'chia CN boc xe'!$C9)</f>
        <v>0</v>
      </c>
      <c r="I9" s="419">
        <f>SUMIFS('boc xe'!Z$2:Z$27,'boc xe'!$B$2:$B$27,'chia CN boc xe'!$C9)</f>
        <v>15.333333333333334</v>
      </c>
      <c r="J9" s="419">
        <f>SUMIFS('boc xe'!AA$2:AA$27,'boc xe'!$B$2:$B$27,'chia CN boc xe'!$C9)</f>
        <v>0</v>
      </c>
      <c r="K9" s="419">
        <f>SUMIFS('boc xe'!AB$2:AB$27,'boc xe'!$B$2:$B$27,'chia CN boc xe'!$C9)</f>
        <v>0</v>
      </c>
      <c r="L9" s="419">
        <f>SUMIFS('boc xe'!AC$2:AC$27,'boc xe'!$B$2:$B$27,'chia CN boc xe'!$C9)</f>
        <v>0</v>
      </c>
      <c r="M9" s="419">
        <f>SUMIFS('boc xe'!AD$2:AD$27,'boc xe'!$B$2:$B$27,'chia CN boc xe'!$C9)</f>
        <v>0</v>
      </c>
      <c r="N9" s="419">
        <f>SUMIFS('boc xe'!AE$2:AE$27,'boc xe'!$B$2:$B$27,'chia CN boc xe'!$C9)</f>
        <v>0</v>
      </c>
      <c r="O9" s="419">
        <f>SUMIFS('boc xe'!AF$2:AF$27,'boc xe'!$B$2:$B$27,'chia CN boc xe'!$C9)</f>
        <v>0</v>
      </c>
      <c r="P9" s="419">
        <f>SUMIFS('boc xe'!AG$2:AG$27,'boc xe'!$B$2:$B$27,'chia CN boc xe'!$C9)</f>
        <v>0</v>
      </c>
      <c r="Q9" s="419">
        <f>SUMIFS('boc xe'!AH$2:AH$27,'boc xe'!$B$2:$B$27,'chia CN boc xe'!$C9)</f>
        <v>0</v>
      </c>
      <c r="R9" s="419">
        <f>SUMIFS('boc xe'!AI$2:AI$27,'boc xe'!$B$2:$B$27,'chia CN boc xe'!$C9)</f>
        <v>0</v>
      </c>
      <c r="S9" s="419">
        <f>SUMIFS('boc xe'!AJ$2:AJ$27,'boc xe'!$B$2:$B$27,'chia CN boc xe'!$C9)</f>
        <v>8.3333333333333339</v>
      </c>
      <c r="U9" s="67" t="str">
        <f>'BANG LUONG 1'!C25</f>
        <v>Thạch Giàu</v>
      </c>
      <c r="V9" s="69">
        <f t="shared" si="1"/>
        <v>0</v>
      </c>
      <c r="W9" s="69">
        <f t="shared" si="2"/>
        <v>0</v>
      </c>
      <c r="X9" s="69">
        <f t="shared" si="3"/>
        <v>0</v>
      </c>
      <c r="Y9" s="69">
        <f t="shared" si="4"/>
        <v>0</v>
      </c>
      <c r="Z9" s="69">
        <f t="shared" si="5"/>
        <v>0</v>
      </c>
      <c r="AA9" s="69">
        <f t="shared" si="6"/>
        <v>0</v>
      </c>
      <c r="AB9" s="69">
        <f t="shared" si="7"/>
        <v>0</v>
      </c>
      <c r="AC9" s="69">
        <f t="shared" si="8"/>
        <v>0</v>
      </c>
      <c r="AD9" s="69">
        <f t="shared" si="9"/>
        <v>0</v>
      </c>
      <c r="AE9" s="69">
        <f t="shared" si="10"/>
        <v>0</v>
      </c>
      <c r="AF9" s="69">
        <f t="shared" si="11"/>
        <v>0</v>
      </c>
      <c r="AG9" s="69">
        <f t="shared" si="12"/>
        <v>0</v>
      </c>
      <c r="AH9" s="69">
        <f t="shared" si="13"/>
        <v>0</v>
      </c>
      <c r="AI9" s="69">
        <f t="shared" si="14"/>
        <v>0</v>
      </c>
      <c r="AJ9" s="69">
        <f t="shared" si="15"/>
        <v>0</v>
      </c>
      <c r="AK9" s="69">
        <f t="shared" si="16"/>
        <v>0</v>
      </c>
    </row>
    <row r="10" spans="1:37" x14ac:dyDescent="0.25">
      <c r="A10" s="421">
        <v>8</v>
      </c>
      <c r="B10" s="542" t="s">
        <v>618</v>
      </c>
      <c r="C10" s="421">
        <v>2</v>
      </c>
      <c r="D10" s="419">
        <f>SUMIFS('boc xe'!U$2:U$27,'boc xe'!$B$2:$B$27,'chia CN boc xe'!$C10)</f>
        <v>0</v>
      </c>
      <c r="E10" s="419">
        <f>SUMIFS('boc xe'!V$2:V$27,'boc xe'!$B$2:$B$27,'chia CN boc xe'!$C10)</f>
        <v>0</v>
      </c>
      <c r="F10" s="419">
        <f>SUMIFS('boc xe'!W$2:W$27,'boc xe'!$B$2:$B$27,'chia CN boc xe'!$C10)</f>
        <v>0</v>
      </c>
      <c r="G10" s="419">
        <f>SUMIFS('boc xe'!X$2:X$27,'boc xe'!$B$2:$B$27,'chia CN boc xe'!$C10)</f>
        <v>16.666666666666668</v>
      </c>
      <c r="H10" s="419">
        <f>SUMIFS('boc xe'!Y$2:Y$27,'boc xe'!$B$2:$B$27,'chia CN boc xe'!$C10)</f>
        <v>0</v>
      </c>
      <c r="I10" s="419">
        <f>SUMIFS('boc xe'!Z$2:Z$27,'boc xe'!$B$2:$B$27,'chia CN boc xe'!$C10)</f>
        <v>15.333333333333334</v>
      </c>
      <c r="J10" s="419">
        <f>SUMIFS('boc xe'!AA$2:AA$27,'boc xe'!$B$2:$B$27,'chia CN boc xe'!$C10)</f>
        <v>0</v>
      </c>
      <c r="K10" s="419">
        <f>SUMIFS('boc xe'!AB$2:AB$27,'boc xe'!$B$2:$B$27,'chia CN boc xe'!$C10)</f>
        <v>0</v>
      </c>
      <c r="L10" s="419">
        <f>SUMIFS('boc xe'!AC$2:AC$27,'boc xe'!$B$2:$B$27,'chia CN boc xe'!$C10)</f>
        <v>0</v>
      </c>
      <c r="M10" s="419">
        <f>SUMIFS('boc xe'!AD$2:AD$27,'boc xe'!$B$2:$B$27,'chia CN boc xe'!$C10)</f>
        <v>0</v>
      </c>
      <c r="N10" s="419">
        <f>SUMIFS('boc xe'!AE$2:AE$27,'boc xe'!$B$2:$B$27,'chia CN boc xe'!$C10)</f>
        <v>0</v>
      </c>
      <c r="O10" s="419">
        <f>SUMIFS('boc xe'!AF$2:AF$27,'boc xe'!$B$2:$B$27,'chia CN boc xe'!$C10)</f>
        <v>0</v>
      </c>
      <c r="P10" s="419">
        <f>SUMIFS('boc xe'!AG$2:AG$27,'boc xe'!$B$2:$B$27,'chia CN boc xe'!$C10)</f>
        <v>0</v>
      </c>
      <c r="Q10" s="419">
        <f>SUMIFS('boc xe'!AH$2:AH$27,'boc xe'!$B$2:$B$27,'chia CN boc xe'!$C10)</f>
        <v>0</v>
      </c>
      <c r="R10" s="419">
        <f>SUMIFS('boc xe'!AI$2:AI$27,'boc xe'!$B$2:$B$27,'chia CN boc xe'!$C10)</f>
        <v>0</v>
      </c>
      <c r="S10" s="419">
        <f>SUMIFS('boc xe'!AJ$2:AJ$27,'boc xe'!$B$2:$B$27,'chia CN boc xe'!$C10)</f>
        <v>8.3333333333333339</v>
      </c>
      <c r="U10" s="67" t="e">
        <f>'BANG LUONG 1'!#REF!</f>
        <v>#REF!</v>
      </c>
      <c r="V10" s="69">
        <f t="shared" si="1"/>
        <v>0</v>
      </c>
      <c r="W10" s="69">
        <f t="shared" si="2"/>
        <v>0</v>
      </c>
      <c r="X10" s="69">
        <f t="shared" si="3"/>
        <v>0</v>
      </c>
      <c r="Y10" s="69">
        <f t="shared" si="4"/>
        <v>0</v>
      </c>
      <c r="Z10" s="69">
        <f t="shared" si="5"/>
        <v>0</v>
      </c>
      <c r="AA10" s="69">
        <f t="shared" si="6"/>
        <v>0</v>
      </c>
      <c r="AB10" s="69">
        <f t="shared" si="7"/>
        <v>0</v>
      </c>
      <c r="AC10" s="69">
        <f t="shared" si="8"/>
        <v>0</v>
      </c>
      <c r="AD10" s="69">
        <f t="shared" si="9"/>
        <v>0</v>
      </c>
      <c r="AE10" s="69">
        <f t="shared" si="10"/>
        <v>0</v>
      </c>
      <c r="AF10" s="69">
        <f t="shared" si="11"/>
        <v>0</v>
      </c>
      <c r="AG10" s="69">
        <f t="shared" si="12"/>
        <v>0</v>
      </c>
      <c r="AH10" s="69">
        <f t="shared" si="13"/>
        <v>0</v>
      </c>
      <c r="AI10" s="69">
        <f t="shared" si="14"/>
        <v>0</v>
      </c>
      <c r="AJ10" s="69">
        <f t="shared" si="15"/>
        <v>0</v>
      </c>
      <c r="AK10" s="69">
        <f t="shared" si="16"/>
        <v>0</v>
      </c>
    </row>
    <row r="11" spans="1:37" x14ac:dyDescent="0.25">
      <c r="A11" s="421">
        <v>9</v>
      </c>
      <c r="B11" s="543" t="s">
        <v>620</v>
      </c>
      <c r="C11" s="421">
        <v>2</v>
      </c>
      <c r="D11" s="419">
        <f>SUMIFS('boc xe'!U$2:U$27,'boc xe'!$B$2:$B$27,'chia CN boc xe'!$C11)</f>
        <v>0</v>
      </c>
      <c r="E11" s="419">
        <f>SUMIFS('boc xe'!V$2:V$27,'boc xe'!$B$2:$B$27,'chia CN boc xe'!$C11)</f>
        <v>0</v>
      </c>
      <c r="F11" s="419">
        <f>SUMIFS('boc xe'!W$2:W$27,'boc xe'!$B$2:$B$27,'chia CN boc xe'!$C11)</f>
        <v>0</v>
      </c>
      <c r="G11" s="419">
        <f>SUMIFS('boc xe'!X$2:X$27,'boc xe'!$B$2:$B$27,'chia CN boc xe'!$C11)</f>
        <v>16.666666666666668</v>
      </c>
      <c r="H11" s="419">
        <f>SUMIFS('boc xe'!Y$2:Y$27,'boc xe'!$B$2:$B$27,'chia CN boc xe'!$C11)</f>
        <v>0</v>
      </c>
      <c r="I11" s="419">
        <f>SUMIFS('boc xe'!Z$2:Z$27,'boc xe'!$B$2:$B$27,'chia CN boc xe'!$C11)</f>
        <v>15.333333333333334</v>
      </c>
      <c r="J11" s="419">
        <f>SUMIFS('boc xe'!AA$2:AA$27,'boc xe'!$B$2:$B$27,'chia CN boc xe'!$C11)</f>
        <v>0</v>
      </c>
      <c r="K11" s="419">
        <f>SUMIFS('boc xe'!AB$2:AB$27,'boc xe'!$B$2:$B$27,'chia CN boc xe'!$C11)</f>
        <v>0</v>
      </c>
      <c r="L11" s="419">
        <f>SUMIFS('boc xe'!AC$2:AC$27,'boc xe'!$B$2:$B$27,'chia CN boc xe'!$C11)</f>
        <v>0</v>
      </c>
      <c r="M11" s="419">
        <f>SUMIFS('boc xe'!AD$2:AD$27,'boc xe'!$B$2:$B$27,'chia CN boc xe'!$C11)</f>
        <v>0</v>
      </c>
      <c r="N11" s="419">
        <f>SUMIFS('boc xe'!AE$2:AE$27,'boc xe'!$B$2:$B$27,'chia CN boc xe'!$C11)</f>
        <v>0</v>
      </c>
      <c r="O11" s="419">
        <f>SUMIFS('boc xe'!AF$2:AF$27,'boc xe'!$B$2:$B$27,'chia CN boc xe'!$C11)</f>
        <v>0</v>
      </c>
      <c r="P11" s="419">
        <f>SUMIFS('boc xe'!AG$2:AG$27,'boc xe'!$B$2:$B$27,'chia CN boc xe'!$C11)</f>
        <v>0</v>
      </c>
      <c r="Q11" s="419">
        <f>SUMIFS('boc xe'!AH$2:AH$27,'boc xe'!$B$2:$B$27,'chia CN boc xe'!$C11)</f>
        <v>0</v>
      </c>
      <c r="R11" s="419">
        <f>SUMIFS('boc xe'!AI$2:AI$27,'boc xe'!$B$2:$B$27,'chia CN boc xe'!$C11)</f>
        <v>0</v>
      </c>
      <c r="S11" s="419">
        <f>SUMIFS('boc xe'!AJ$2:AJ$27,'boc xe'!$B$2:$B$27,'chia CN boc xe'!$C11)</f>
        <v>8.3333333333333339</v>
      </c>
      <c r="U11" s="67" t="str">
        <f>'BANG LUONG 1'!C26</f>
        <v>Trần Thanh Hậu</v>
      </c>
      <c r="V11" s="69">
        <f t="shared" si="1"/>
        <v>0</v>
      </c>
      <c r="W11" s="69">
        <f t="shared" si="2"/>
        <v>0</v>
      </c>
      <c r="X11" s="69">
        <f t="shared" si="3"/>
        <v>0</v>
      </c>
      <c r="Y11" s="69">
        <f t="shared" si="4"/>
        <v>0</v>
      </c>
      <c r="Z11" s="69">
        <f t="shared" si="5"/>
        <v>0</v>
      </c>
      <c r="AA11" s="69">
        <f t="shared" si="6"/>
        <v>0</v>
      </c>
      <c r="AB11" s="69">
        <f t="shared" si="7"/>
        <v>0</v>
      </c>
      <c r="AC11" s="69">
        <f t="shared" si="8"/>
        <v>0</v>
      </c>
      <c r="AD11" s="69">
        <f t="shared" si="9"/>
        <v>0</v>
      </c>
      <c r="AE11" s="69">
        <f t="shared" si="10"/>
        <v>0</v>
      </c>
      <c r="AF11" s="69">
        <f t="shared" si="11"/>
        <v>0</v>
      </c>
      <c r="AG11" s="69">
        <f t="shared" si="12"/>
        <v>0</v>
      </c>
      <c r="AH11" s="69">
        <f t="shared" si="13"/>
        <v>0</v>
      </c>
      <c r="AI11" s="69">
        <f t="shared" si="14"/>
        <v>0</v>
      </c>
      <c r="AJ11" s="69">
        <f t="shared" si="15"/>
        <v>0</v>
      </c>
      <c r="AK11" s="69">
        <f t="shared" si="16"/>
        <v>0</v>
      </c>
    </row>
    <row r="12" spans="1:37" x14ac:dyDescent="0.25">
      <c r="A12" s="421">
        <v>10</v>
      </c>
      <c r="B12" s="545" t="s">
        <v>742</v>
      </c>
      <c r="C12" s="421">
        <v>2</v>
      </c>
      <c r="D12" s="419">
        <f>SUMIFS('boc xe'!U$2:U$27,'boc xe'!$B$2:$B$27,'chia CN boc xe'!$C12)</f>
        <v>0</v>
      </c>
      <c r="E12" s="419">
        <f>SUMIFS('boc xe'!V$2:V$27,'boc xe'!$B$2:$B$27,'chia CN boc xe'!$C12)</f>
        <v>0</v>
      </c>
      <c r="F12" s="419">
        <f>SUMIFS('boc xe'!W$2:W$27,'boc xe'!$B$2:$B$27,'chia CN boc xe'!$C12)</f>
        <v>0</v>
      </c>
      <c r="G12" s="419">
        <f>SUMIFS('boc xe'!X$2:X$27,'boc xe'!$B$2:$B$27,'chia CN boc xe'!$C12)</f>
        <v>16.666666666666668</v>
      </c>
      <c r="H12" s="419">
        <f>SUMIFS('boc xe'!Y$2:Y$27,'boc xe'!$B$2:$B$27,'chia CN boc xe'!$C12)</f>
        <v>0</v>
      </c>
      <c r="I12" s="419">
        <f>SUMIFS('boc xe'!Z$2:Z$27,'boc xe'!$B$2:$B$27,'chia CN boc xe'!$C12)</f>
        <v>15.333333333333334</v>
      </c>
      <c r="J12" s="419">
        <f>SUMIFS('boc xe'!AA$2:AA$27,'boc xe'!$B$2:$B$27,'chia CN boc xe'!$C12)</f>
        <v>0</v>
      </c>
      <c r="K12" s="419">
        <f>SUMIFS('boc xe'!AB$2:AB$27,'boc xe'!$B$2:$B$27,'chia CN boc xe'!$C12)</f>
        <v>0</v>
      </c>
      <c r="L12" s="419">
        <f>SUMIFS('boc xe'!AC$2:AC$27,'boc xe'!$B$2:$B$27,'chia CN boc xe'!$C12)</f>
        <v>0</v>
      </c>
      <c r="M12" s="419">
        <f>SUMIFS('boc xe'!AD$2:AD$27,'boc xe'!$B$2:$B$27,'chia CN boc xe'!$C12)</f>
        <v>0</v>
      </c>
      <c r="N12" s="419">
        <f>SUMIFS('boc xe'!AE$2:AE$27,'boc xe'!$B$2:$B$27,'chia CN boc xe'!$C12)</f>
        <v>0</v>
      </c>
      <c r="O12" s="419">
        <f>SUMIFS('boc xe'!AF$2:AF$27,'boc xe'!$B$2:$B$27,'chia CN boc xe'!$C12)</f>
        <v>0</v>
      </c>
      <c r="P12" s="419">
        <f>SUMIFS('boc xe'!AG$2:AG$27,'boc xe'!$B$2:$B$27,'chia CN boc xe'!$C12)</f>
        <v>0</v>
      </c>
      <c r="Q12" s="419">
        <f>SUMIFS('boc xe'!AH$2:AH$27,'boc xe'!$B$2:$B$27,'chia CN boc xe'!$C12)</f>
        <v>0</v>
      </c>
      <c r="R12" s="419">
        <f>SUMIFS('boc xe'!AI$2:AI$27,'boc xe'!$B$2:$B$27,'chia CN boc xe'!$C12)</f>
        <v>0</v>
      </c>
      <c r="S12" s="419">
        <f>SUMIFS('boc xe'!AJ$2:AJ$27,'boc xe'!$B$2:$B$27,'chia CN boc xe'!$C12)</f>
        <v>8.3333333333333339</v>
      </c>
      <c r="U12" s="67" t="e">
        <f>'BANG LUONG 1'!#REF!</f>
        <v>#REF!</v>
      </c>
      <c r="V12" s="69">
        <f t="shared" si="1"/>
        <v>0</v>
      </c>
      <c r="W12" s="69">
        <f t="shared" si="2"/>
        <v>0</v>
      </c>
      <c r="X12" s="69">
        <f t="shared" si="3"/>
        <v>0</v>
      </c>
      <c r="Y12" s="69">
        <f t="shared" si="4"/>
        <v>0</v>
      </c>
      <c r="Z12" s="69">
        <f t="shared" si="5"/>
        <v>0</v>
      </c>
      <c r="AA12" s="69">
        <f t="shared" si="6"/>
        <v>0</v>
      </c>
      <c r="AB12" s="69">
        <f t="shared" si="7"/>
        <v>0</v>
      </c>
      <c r="AC12" s="69">
        <f t="shared" si="8"/>
        <v>0</v>
      </c>
      <c r="AD12" s="69">
        <f t="shared" si="9"/>
        <v>0</v>
      </c>
      <c r="AE12" s="69">
        <f t="shared" si="10"/>
        <v>0</v>
      </c>
      <c r="AF12" s="69">
        <f t="shared" si="11"/>
        <v>0</v>
      </c>
      <c r="AG12" s="69">
        <f t="shared" si="12"/>
        <v>0</v>
      </c>
      <c r="AH12" s="69">
        <f t="shared" si="13"/>
        <v>0</v>
      </c>
      <c r="AI12" s="69">
        <f t="shared" si="14"/>
        <v>0</v>
      </c>
      <c r="AJ12" s="69">
        <f t="shared" si="15"/>
        <v>0</v>
      </c>
      <c r="AK12" s="69">
        <f t="shared" si="16"/>
        <v>0</v>
      </c>
    </row>
    <row r="13" spans="1:37" x14ac:dyDescent="0.25">
      <c r="A13" s="421">
        <v>11</v>
      </c>
      <c r="B13" s="543" t="s">
        <v>746</v>
      </c>
      <c r="C13" s="421">
        <v>2</v>
      </c>
      <c r="D13" s="419">
        <f>SUMIFS('boc xe'!U$2:U$27,'boc xe'!$B$2:$B$27,'chia CN boc xe'!$C13)</f>
        <v>0</v>
      </c>
      <c r="E13" s="419">
        <f>SUMIFS('boc xe'!V$2:V$27,'boc xe'!$B$2:$B$27,'chia CN boc xe'!$C13)</f>
        <v>0</v>
      </c>
      <c r="F13" s="419">
        <f>SUMIFS('boc xe'!W$2:W$27,'boc xe'!$B$2:$B$27,'chia CN boc xe'!$C13)</f>
        <v>0</v>
      </c>
      <c r="G13" s="419">
        <f>SUMIFS('boc xe'!X$2:X$27,'boc xe'!$B$2:$B$27,'chia CN boc xe'!$C13)</f>
        <v>16.666666666666668</v>
      </c>
      <c r="H13" s="419">
        <f>SUMIFS('boc xe'!Y$2:Y$27,'boc xe'!$B$2:$B$27,'chia CN boc xe'!$C13)</f>
        <v>0</v>
      </c>
      <c r="I13" s="419">
        <f>SUMIFS('boc xe'!Z$2:Z$27,'boc xe'!$B$2:$B$27,'chia CN boc xe'!$C13)</f>
        <v>15.333333333333334</v>
      </c>
      <c r="J13" s="419">
        <f>SUMIFS('boc xe'!AA$2:AA$27,'boc xe'!$B$2:$B$27,'chia CN boc xe'!$C13)</f>
        <v>0</v>
      </c>
      <c r="K13" s="419">
        <f>SUMIFS('boc xe'!AB$2:AB$27,'boc xe'!$B$2:$B$27,'chia CN boc xe'!$C13)</f>
        <v>0</v>
      </c>
      <c r="L13" s="419">
        <f>SUMIFS('boc xe'!AC$2:AC$27,'boc xe'!$B$2:$B$27,'chia CN boc xe'!$C13)</f>
        <v>0</v>
      </c>
      <c r="M13" s="419">
        <f>SUMIFS('boc xe'!AD$2:AD$27,'boc xe'!$B$2:$B$27,'chia CN boc xe'!$C13)</f>
        <v>0</v>
      </c>
      <c r="N13" s="419">
        <f>SUMIFS('boc xe'!AE$2:AE$27,'boc xe'!$B$2:$B$27,'chia CN boc xe'!$C13)</f>
        <v>0</v>
      </c>
      <c r="O13" s="419">
        <f>SUMIFS('boc xe'!AF$2:AF$27,'boc xe'!$B$2:$B$27,'chia CN boc xe'!$C13)</f>
        <v>0</v>
      </c>
      <c r="P13" s="419">
        <f>SUMIFS('boc xe'!AG$2:AG$27,'boc xe'!$B$2:$B$27,'chia CN boc xe'!$C13)</f>
        <v>0</v>
      </c>
      <c r="Q13" s="419">
        <f>SUMIFS('boc xe'!AH$2:AH$27,'boc xe'!$B$2:$B$27,'chia CN boc xe'!$C13)</f>
        <v>0</v>
      </c>
      <c r="R13" s="419">
        <f>SUMIFS('boc xe'!AI$2:AI$27,'boc xe'!$B$2:$B$27,'chia CN boc xe'!$C13)</f>
        <v>0</v>
      </c>
      <c r="S13" s="419">
        <f>SUMIFS('boc xe'!AJ$2:AJ$27,'boc xe'!$B$2:$B$27,'chia CN boc xe'!$C13)</f>
        <v>8.3333333333333339</v>
      </c>
      <c r="U13" s="67" t="str">
        <f>'BANG LUONG 1'!C23</f>
        <v>Châu Thành Nhân</v>
      </c>
      <c r="V13" s="69">
        <f t="shared" si="1"/>
        <v>0</v>
      </c>
      <c r="W13" s="69">
        <f t="shared" si="2"/>
        <v>0</v>
      </c>
      <c r="X13" s="69">
        <f t="shared" si="3"/>
        <v>0</v>
      </c>
      <c r="Y13" s="69">
        <f t="shared" si="4"/>
        <v>0</v>
      </c>
      <c r="Z13" s="69">
        <f t="shared" si="5"/>
        <v>0</v>
      </c>
      <c r="AA13" s="69">
        <f t="shared" si="6"/>
        <v>0</v>
      </c>
      <c r="AB13" s="69">
        <f t="shared" si="7"/>
        <v>0</v>
      </c>
      <c r="AC13" s="69">
        <f t="shared" si="8"/>
        <v>0</v>
      </c>
      <c r="AD13" s="69">
        <f t="shared" si="9"/>
        <v>0</v>
      </c>
      <c r="AE13" s="69">
        <f t="shared" si="10"/>
        <v>0</v>
      </c>
      <c r="AF13" s="69">
        <f t="shared" si="11"/>
        <v>0</v>
      </c>
      <c r="AG13" s="69">
        <f t="shared" si="12"/>
        <v>0</v>
      </c>
      <c r="AH13" s="69">
        <f t="shared" si="13"/>
        <v>0</v>
      </c>
      <c r="AI13" s="69">
        <f t="shared" si="14"/>
        <v>0</v>
      </c>
      <c r="AJ13" s="69">
        <f t="shared" si="15"/>
        <v>0</v>
      </c>
      <c r="AK13" s="69">
        <f t="shared" si="16"/>
        <v>0</v>
      </c>
    </row>
    <row r="14" spans="1:37" x14ac:dyDescent="0.25">
      <c r="A14" s="421">
        <v>12</v>
      </c>
      <c r="B14" s="543" t="s">
        <v>751</v>
      </c>
      <c r="C14" s="421">
        <v>2</v>
      </c>
      <c r="D14" s="419">
        <f>SUMIFS('boc xe'!U$2:U$27,'boc xe'!$B$2:$B$27,'chia CN boc xe'!$C14)</f>
        <v>0</v>
      </c>
      <c r="E14" s="419">
        <f>SUMIFS('boc xe'!V$2:V$27,'boc xe'!$B$2:$B$27,'chia CN boc xe'!$C14)</f>
        <v>0</v>
      </c>
      <c r="F14" s="419">
        <f>SUMIFS('boc xe'!W$2:W$27,'boc xe'!$B$2:$B$27,'chia CN boc xe'!$C14)</f>
        <v>0</v>
      </c>
      <c r="G14" s="419">
        <f>SUMIFS('boc xe'!X$2:X$27,'boc xe'!$B$2:$B$27,'chia CN boc xe'!$C14)</f>
        <v>16.666666666666668</v>
      </c>
      <c r="H14" s="419">
        <f>SUMIFS('boc xe'!Y$2:Y$27,'boc xe'!$B$2:$B$27,'chia CN boc xe'!$C14)</f>
        <v>0</v>
      </c>
      <c r="I14" s="419">
        <f>SUMIFS('boc xe'!Z$2:Z$27,'boc xe'!$B$2:$B$27,'chia CN boc xe'!$C14)</f>
        <v>15.333333333333334</v>
      </c>
      <c r="J14" s="419">
        <f>SUMIFS('boc xe'!AA$2:AA$27,'boc xe'!$B$2:$B$27,'chia CN boc xe'!$C14)</f>
        <v>0</v>
      </c>
      <c r="K14" s="419">
        <f>SUMIFS('boc xe'!AB$2:AB$27,'boc xe'!$B$2:$B$27,'chia CN boc xe'!$C14)</f>
        <v>0</v>
      </c>
      <c r="L14" s="419">
        <f>SUMIFS('boc xe'!AC$2:AC$27,'boc xe'!$B$2:$B$27,'chia CN boc xe'!$C14)</f>
        <v>0</v>
      </c>
      <c r="M14" s="419">
        <f>SUMIFS('boc xe'!AD$2:AD$27,'boc xe'!$B$2:$B$27,'chia CN boc xe'!$C14)</f>
        <v>0</v>
      </c>
      <c r="N14" s="419">
        <f>SUMIFS('boc xe'!AE$2:AE$27,'boc xe'!$B$2:$B$27,'chia CN boc xe'!$C14)</f>
        <v>0</v>
      </c>
      <c r="O14" s="419">
        <f>SUMIFS('boc xe'!AF$2:AF$27,'boc xe'!$B$2:$B$27,'chia CN boc xe'!$C14)</f>
        <v>0</v>
      </c>
      <c r="P14" s="419">
        <f>SUMIFS('boc xe'!AG$2:AG$27,'boc xe'!$B$2:$B$27,'chia CN boc xe'!$C14)</f>
        <v>0</v>
      </c>
      <c r="Q14" s="419">
        <f>SUMIFS('boc xe'!AH$2:AH$27,'boc xe'!$B$2:$B$27,'chia CN boc xe'!$C14)</f>
        <v>0</v>
      </c>
      <c r="R14" s="419">
        <f>SUMIFS('boc xe'!AI$2:AI$27,'boc xe'!$B$2:$B$27,'chia CN boc xe'!$C14)</f>
        <v>0</v>
      </c>
      <c r="S14" s="419">
        <f>SUMIFS('boc xe'!AJ$2:AJ$27,'boc xe'!$B$2:$B$27,'chia CN boc xe'!$C14)</f>
        <v>8.3333333333333339</v>
      </c>
      <c r="U14" s="67" t="str">
        <f>'BANG LUONG 1'!C21</f>
        <v>Nguyễn Văn Chạy</v>
      </c>
      <c r="V14" s="69">
        <f t="shared" si="1"/>
        <v>0</v>
      </c>
      <c r="W14" s="69">
        <f t="shared" si="2"/>
        <v>0</v>
      </c>
      <c r="X14" s="69">
        <f t="shared" si="3"/>
        <v>0</v>
      </c>
      <c r="Y14" s="69">
        <f t="shared" si="4"/>
        <v>0</v>
      </c>
      <c r="Z14" s="69">
        <f t="shared" si="5"/>
        <v>0</v>
      </c>
      <c r="AA14" s="69">
        <f t="shared" si="6"/>
        <v>0</v>
      </c>
      <c r="AB14" s="69">
        <f t="shared" si="7"/>
        <v>0</v>
      </c>
      <c r="AC14" s="69">
        <f t="shared" si="8"/>
        <v>0</v>
      </c>
      <c r="AD14" s="69">
        <f t="shared" si="9"/>
        <v>0</v>
      </c>
      <c r="AE14" s="69">
        <f t="shared" si="10"/>
        <v>0</v>
      </c>
      <c r="AF14" s="69">
        <f t="shared" si="11"/>
        <v>0</v>
      </c>
      <c r="AG14" s="69">
        <f t="shared" si="12"/>
        <v>0</v>
      </c>
      <c r="AH14" s="69">
        <f t="shared" si="13"/>
        <v>0</v>
      </c>
      <c r="AI14" s="69">
        <f t="shared" si="14"/>
        <v>0</v>
      </c>
      <c r="AJ14" s="69">
        <f t="shared" si="15"/>
        <v>0</v>
      </c>
      <c r="AK14" s="69">
        <f t="shared" si="16"/>
        <v>0</v>
      </c>
    </row>
    <row r="15" spans="1:37" x14ac:dyDescent="0.25">
      <c r="A15" s="421">
        <v>13</v>
      </c>
      <c r="B15" s="543" t="s">
        <v>600</v>
      </c>
      <c r="C15" s="421">
        <v>3</v>
      </c>
      <c r="D15" s="419">
        <f>SUMIFS('boc xe'!U$2:U$27,'boc xe'!$B$2:$B$27,'chia CN boc xe'!$C15)</f>
        <v>40</v>
      </c>
      <c r="E15" s="419">
        <f>SUMIFS('boc xe'!V$2:V$27,'boc xe'!$B$2:$B$27,'chia CN boc xe'!$C15)</f>
        <v>25</v>
      </c>
      <c r="F15" s="419">
        <f>SUMIFS('boc xe'!W$2:W$27,'boc xe'!$B$2:$B$27,'chia CN boc xe'!$C15)</f>
        <v>50</v>
      </c>
      <c r="G15" s="419">
        <f>SUMIFS('boc xe'!X$2:X$27,'boc xe'!$B$2:$B$27,'chia CN boc xe'!$C15)</f>
        <v>11.75</v>
      </c>
      <c r="H15" s="419">
        <f>SUMIFS('boc xe'!Y$2:Y$27,'boc xe'!$B$2:$B$27,'chia CN boc xe'!$C15)</f>
        <v>0</v>
      </c>
      <c r="I15" s="419">
        <f>SUMIFS('boc xe'!Z$2:Z$27,'boc xe'!$B$2:$B$27,'chia CN boc xe'!$C15)</f>
        <v>17.5</v>
      </c>
      <c r="J15" s="419">
        <f>SUMIFS('boc xe'!AA$2:AA$27,'boc xe'!$B$2:$B$27,'chia CN boc xe'!$C15)</f>
        <v>0</v>
      </c>
      <c r="K15" s="419">
        <f>SUMIFS('boc xe'!AB$2:AB$27,'boc xe'!$B$2:$B$27,'chia CN boc xe'!$C15)</f>
        <v>0</v>
      </c>
      <c r="L15" s="419">
        <f>SUMIFS('boc xe'!AC$2:AC$27,'boc xe'!$B$2:$B$27,'chia CN boc xe'!$C15)</f>
        <v>41.25</v>
      </c>
      <c r="M15" s="419">
        <f>SUMIFS('boc xe'!AD$2:AD$27,'boc xe'!$B$2:$B$27,'chia CN boc xe'!$C15)</f>
        <v>13.75</v>
      </c>
      <c r="N15" s="419">
        <f>SUMIFS('boc xe'!AE$2:AE$27,'boc xe'!$B$2:$B$27,'chia CN boc xe'!$C15)</f>
        <v>0</v>
      </c>
      <c r="O15" s="419">
        <f>SUMIFS('boc xe'!AF$2:AF$27,'boc xe'!$B$2:$B$27,'chia CN boc xe'!$C15)</f>
        <v>0</v>
      </c>
      <c r="P15" s="419">
        <f>SUMIFS('boc xe'!AG$2:AG$27,'boc xe'!$B$2:$B$27,'chia CN boc xe'!$C15)</f>
        <v>0</v>
      </c>
      <c r="Q15" s="419">
        <f>SUMIFS('boc xe'!AH$2:AH$27,'boc xe'!$B$2:$B$27,'chia CN boc xe'!$C15)</f>
        <v>1.25</v>
      </c>
      <c r="R15" s="419">
        <f>SUMIFS('boc xe'!AI$2:AI$27,'boc xe'!$B$2:$B$27,'chia CN boc xe'!$C15)</f>
        <v>0</v>
      </c>
      <c r="S15" s="419">
        <f>SUMIFS('boc xe'!AJ$2:AJ$27,'boc xe'!$B$2:$B$27,'chia CN boc xe'!$C15)</f>
        <v>0</v>
      </c>
      <c r="U15" s="67" t="str">
        <f>'BANG LUONG 1'!C22</f>
        <v>Hà Hoàng Hùng</v>
      </c>
      <c r="V15" s="69">
        <f t="shared" si="1"/>
        <v>0</v>
      </c>
      <c r="W15" s="69">
        <f t="shared" si="2"/>
        <v>0</v>
      </c>
      <c r="X15" s="69">
        <f t="shared" si="3"/>
        <v>0</v>
      </c>
      <c r="Y15" s="69">
        <f t="shared" si="4"/>
        <v>0</v>
      </c>
      <c r="Z15" s="69">
        <f t="shared" si="5"/>
        <v>0</v>
      </c>
      <c r="AA15" s="69">
        <f t="shared" si="6"/>
        <v>0</v>
      </c>
      <c r="AB15" s="69">
        <f t="shared" si="7"/>
        <v>0</v>
      </c>
      <c r="AC15" s="69">
        <f t="shared" si="8"/>
        <v>0</v>
      </c>
      <c r="AD15" s="69">
        <f t="shared" si="9"/>
        <v>0</v>
      </c>
      <c r="AE15" s="69">
        <f t="shared" si="10"/>
        <v>0</v>
      </c>
      <c r="AF15" s="69">
        <f t="shared" si="11"/>
        <v>0</v>
      </c>
      <c r="AG15" s="69">
        <f t="shared" si="12"/>
        <v>0</v>
      </c>
      <c r="AH15" s="69">
        <f t="shared" si="13"/>
        <v>0</v>
      </c>
      <c r="AI15" s="69">
        <f t="shared" si="14"/>
        <v>0</v>
      </c>
      <c r="AJ15" s="69">
        <f t="shared" si="15"/>
        <v>0</v>
      </c>
      <c r="AK15" s="69">
        <f t="shared" si="16"/>
        <v>0</v>
      </c>
    </row>
    <row r="16" spans="1:37" x14ac:dyDescent="0.25">
      <c r="A16" s="421">
        <v>14</v>
      </c>
      <c r="B16" s="543" t="s">
        <v>604</v>
      </c>
      <c r="C16" s="421">
        <v>3</v>
      </c>
      <c r="D16" s="419">
        <f>SUMIFS('boc xe'!U$2:U$27,'boc xe'!$B$2:$B$27,'chia CN boc xe'!$C16)</f>
        <v>40</v>
      </c>
      <c r="E16" s="419">
        <f>SUMIFS('boc xe'!V$2:V$27,'boc xe'!$B$2:$B$27,'chia CN boc xe'!$C16)</f>
        <v>25</v>
      </c>
      <c r="F16" s="419">
        <f>SUMIFS('boc xe'!W$2:W$27,'boc xe'!$B$2:$B$27,'chia CN boc xe'!$C16)</f>
        <v>50</v>
      </c>
      <c r="G16" s="419">
        <f>SUMIFS('boc xe'!X$2:X$27,'boc xe'!$B$2:$B$27,'chia CN boc xe'!$C16)</f>
        <v>11.75</v>
      </c>
      <c r="H16" s="419">
        <f>SUMIFS('boc xe'!Y$2:Y$27,'boc xe'!$B$2:$B$27,'chia CN boc xe'!$C16)</f>
        <v>0</v>
      </c>
      <c r="I16" s="419">
        <f>SUMIFS('boc xe'!Z$2:Z$27,'boc xe'!$B$2:$B$27,'chia CN boc xe'!$C16)</f>
        <v>17.5</v>
      </c>
      <c r="J16" s="419">
        <f>SUMIFS('boc xe'!AA$2:AA$27,'boc xe'!$B$2:$B$27,'chia CN boc xe'!$C16)</f>
        <v>0</v>
      </c>
      <c r="K16" s="419">
        <f>SUMIFS('boc xe'!AB$2:AB$27,'boc xe'!$B$2:$B$27,'chia CN boc xe'!$C16)</f>
        <v>0</v>
      </c>
      <c r="L16" s="419">
        <f>SUMIFS('boc xe'!AC$2:AC$27,'boc xe'!$B$2:$B$27,'chia CN boc xe'!$C16)</f>
        <v>41.25</v>
      </c>
      <c r="M16" s="419">
        <f>SUMIFS('boc xe'!AD$2:AD$27,'boc xe'!$B$2:$B$27,'chia CN boc xe'!$C16)</f>
        <v>13.75</v>
      </c>
      <c r="N16" s="419">
        <f>SUMIFS('boc xe'!AE$2:AE$27,'boc xe'!$B$2:$B$27,'chia CN boc xe'!$C16)</f>
        <v>0</v>
      </c>
      <c r="O16" s="419">
        <f>SUMIFS('boc xe'!AF$2:AF$27,'boc xe'!$B$2:$B$27,'chia CN boc xe'!$C16)</f>
        <v>0</v>
      </c>
      <c r="P16" s="419">
        <f>SUMIFS('boc xe'!AG$2:AG$27,'boc xe'!$B$2:$B$27,'chia CN boc xe'!$C16)</f>
        <v>0</v>
      </c>
      <c r="Q16" s="419">
        <f>SUMIFS('boc xe'!AH$2:AH$27,'boc xe'!$B$2:$B$27,'chia CN boc xe'!$C16)</f>
        <v>1.25</v>
      </c>
      <c r="R16" s="419">
        <f>SUMIFS('boc xe'!AI$2:AI$27,'boc xe'!$B$2:$B$27,'chia CN boc xe'!$C16)</f>
        <v>0</v>
      </c>
      <c r="S16" s="419">
        <f>SUMIFS('boc xe'!AJ$2:AJ$27,'boc xe'!$B$2:$B$27,'chia CN boc xe'!$C16)</f>
        <v>0</v>
      </c>
      <c r="U16" s="67" t="e">
        <f>'BANG LUONG 1'!#REF!</f>
        <v>#REF!</v>
      </c>
      <c r="V16" s="69">
        <f t="shared" si="1"/>
        <v>0</v>
      </c>
      <c r="W16" s="69">
        <f t="shared" si="2"/>
        <v>0</v>
      </c>
      <c r="X16" s="69">
        <f t="shared" si="3"/>
        <v>0</v>
      </c>
      <c r="Y16" s="69">
        <f t="shared" si="4"/>
        <v>0</v>
      </c>
      <c r="Z16" s="69">
        <f t="shared" si="5"/>
        <v>0</v>
      </c>
      <c r="AA16" s="69">
        <f t="shared" si="6"/>
        <v>0</v>
      </c>
      <c r="AB16" s="69">
        <f t="shared" si="7"/>
        <v>0</v>
      </c>
      <c r="AC16" s="69">
        <f t="shared" si="8"/>
        <v>0</v>
      </c>
      <c r="AD16" s="69">
        <f t="shared" si="9"/>
        <v>0</v>
      </c>
      <c r="AE16" s="69">
        <f t="shared" si="10"/>
        <v>0</v>
      </c>
      <c r="AF16" s="69">
        <f t="shared" si="11"/>
        <v>0</v>
      </c>
      <c r="AG16" s="69">
        <f t="shared" si="12"/>
        <v>0</v>
      </c>
      <c r="AH16" s="69">
        <f t="shared" si="13"/>
        <v>0</v>
      </c>
      <c r="AI16" s="69">
        <f t="shared" si="14"/>
        <v>0</v>
      </c>
      <c r="AJ16" s="69">
        <f t="shared" si="15"/>
        <v>0</v>
      </c>
      <c r="AK16" s="69">
        <f t="shared" si="16"/>
        <v>0</v>
      </c>
    </row>
    <row r="17" spans="1:37" x14ac:dyDescent="0.25">
      <c r="A17" s="421">
        <v>15</v>
      </c>
      <c r="B17" s="542" t="s">
        <v>625</v>
      </c>
      <c r="C17" s="421">
        <v>3</v>
      </c>
      <c r="D17" s="419">
        <f>SUMIFS('boc xe'!U$2:U$27,'boc xe'!$B$2:$B$27,'chia CN boc xe'!$C17)</f>
        <v>40</v>
      </c>
      <c r="E17" s="419">
        <f>SUMIFS('boc xe'!V$2:V$27,'boc xe'!$B$2:$B$27,'chia CN boc xe'!$C17)</f>
        <v>25</v>
      </c>
      <c r="F17" s="419">
        <f>SUMIFS('boc xe'!W$2:W$27,'boc xe'!$B$2:$B$27,'chia CN boc xe'!$C17)</f>
        <v>50</v>
      </c>
      <c r="G17" s="419">
        <f>SUMIFS('boc xe'!X$2:X$27,'boc xe'!$B$2:$B$27,'chia CN boc xe'!$C17)</f>
        <v>11.75</v>
      </c>
      <c r="H17" s="419">
        <f>SUMIFS('boc xe'!Y$2:Y$27,'boc xe'!$B$2:$B$27,'chia CN boc xe'!$C17)</f>
        <v>0</v>
      </c>
      <c r="I17" s="419">
        <f>SUMIFS('boc xe'!Z$2:Z$27,'boc xe'!$B$2:$B$27,'chia CN boc xe'!$C17)</f>
        <v>17.5</v>
      </c>
      <c r="J17" s="419">
        <f>SUMIFS('boc xe'!AA$2:AA$27,'boc xe'!$B$2:$B$27,'chia CN boc xe'!$C17)</f>
        <v>0</v>
      </c>
      <c r="K17" s="419">
        <f>SUMIFS('boc xe'!AB$2:AB$27,'boc xe'!$B$2:$B$27,'chia CN boc xe'!$C17)</f>
        <v>0</v>
      </c>
      <c r="L17" s="419">
        <f>SUMIFS('boc xe'!AC$2:AC$27,'boc xe'!$B$2:$B$27,'chia CN boc xe'!$C17)</f>
        <v>41.25</v>
      </c>
      <c r="M17" s="419">
        <f>SUMIFS('boc xe'!AD$2:AD$27,'boc xe'!$B$2:$B$27,'chia CN boc xe'!$C17)</f>
        <v>13.75</v>
      </c>
      <c r="N17" s="419">
        <f>SUMIFS('boc xe'!AE$2:AE$27,'boc xe'!$B$2:$B$27,'chia CN boc xe'!$C17)</f>
        <v>0</v>
      </c>
      <c r="O17" s="419">
        <f>SUMIFS('boc xe'!AF$2:AF$27,'boc xe'!$B$2:$B$27,'chia CN boc xe'!$C17)</f>
        <v>0</v>
      </c>
      <c r="P17" s="419">
        <f>SUMIFS('boc xe'!AG$2:AG$27,'boc xe'!$B$2:$B$27,'chia CN boc xe'!$C17)</f>
        <v>0</v>
      </c>
      <c r="Q17" s="419">
        <f>SUMIFS('boc xe'!AH$2:AH$27,'boc xe'!$B$2:$B$27,'chia CN boc xe'!$C17)</f>
        <v>1.25</v>
      </c>
      <c r="R17" s="419">
        <f>SUMIFS('boc xe'!AI$2:AI$27,'boc xe'!$B$2:$B$27,'chia CN boc xe'!$C17)</f>
        <v>0</v>
      </c>
      <c r="S17" s="419">
        <f>SUMIFS('boc xe'!AJ$2:AJ$27,'boc xe'!$B$2:$B$27,'chia CN boc xe'!$C17)</f>
        <v>0</v>
      </c>
      <c r="U17" s="67" t="str">
        <f>'BANG LUONG 1'!C24</f>
        <v>Châu Văn Phước</v>
      </c>
      <c r="V17" s="69">
        <f t="shared" si="1"/>
        <v>0</v>
      </c>
      <c r="W17" s="69">
        <f t="shared" si="2"/>
        <v>0</v>
      </c>
      <c r="X17" s="69">
        <f t="shared" si="3"/>
        <v>0</v>
      </c>
      <c r="Y17" s="69">
        <f t="shared" si="4"/>
        <v>0</v>
      </c>
      <c r="Z17" s="69">
        <f t="shared" si="5"/>
        <v>0</v>
      </c>
      <c r="AA17" s="69">
        <f t="shared" si="6"/>
        <v>0</v>
      </c>
      <c r="AB17" s="69">
        <f t="shared" si="7"/>
        <v>0</v>
      </c>
      <c r="AC17" s="69">
        <f t="shared" si="8"/>
        <v>0</v>
      </c>
      <c r="AD17" s="69">
        <f t="shared" si="9"/>
        <v>0</v>
      </c>
      <c r="AE17" s="69">
        <f t="shared" si="10"/>
        <v>0</v>
      </c>
      <c r="AF17" s="69">
        <f t="shared" si="11"/>
        <v>0</v>
      </c>
      <c r="AG17" s="69">
        <f t="shared" si="12"/>
        <v>0</v>
      </c>
      <c r="AH17" s="69">
        <f t="shared" si="13"/>
        <v>0</v>
      </c>
      <c r="AI17" s="69">
        <f t="shared" si="14"/>
        <v>0</v>
      </c>
      <c r="AJ17" s="69">
        <f t="shared" si="15"/>
        <v>0</v>
      </c>
      <c r="AK17" s="69">
        <f t="shared" si="16"/>
        <v>0</v>
      </c>
    </row>
    <row r="18" spans="1:37" x14ac:dyDescent="0.25">
      <c r="A18" s="421">
        <v>16</v>
      </c>
      <c r="B18" s="542" t="s">
        <v>700</v>
      </c>
      <c r="C18" s="421">
        <v>3</v>
      </c>
      <c r="D18" s="419">
        <f>SUMIFS('boc xe'!U$2:U$27,'boc xe'!$B$2:$B$27,'chia CN boc xe'!$C18)</f>
        <v>40</v>
      </c>
      <c r="E18" s="419">
        <f>SUMIFS('boc xe'!V$2:V$27,'boc xe'!$B$2:$B$27,'chia CN boc xe'!$C18)</f>
        <v>25</v>
      </c>
      <c r="F18" s="419">
        <f>SUMIFS('boc xe'!W$2:W$27,'boc xe'!$B$2:$B$27,'chia CN boc xe'!$C18)</f>
        <v>50</v>
      </c>
      <c r="G18" s="419">
        <f>SUMIFS('boc xe'!X$2:X$27,'boc xe'!$B$2:$B$27,'chia CN boc xe'!$C18)</f>
        <v>11.75</v>
      </c>
      <c r="H18" s="419">
        <f>SUMIFS('boc xe'!Y$2:Y$27,'boc xe'!$B$2:$B$27,'chia CN boc xe'!$C18)</f>
        <v>0</v>
      </c>
      <c r="I18" s="419">
        <f>SUMIFS('boc xe'!Z$2:Z$27,'boc xe'!$B$2:$B$27,'chia CN boc xe'!$C18)</f>
        <v>17.5</v>
      </c>
      <c r="J18" s="419">
        <f>SUMIFS('boc xe'!AA$2:AA$27,'boc xe'!$B$2:$B$27,'chia CN boc xe'!$C18)</f>
        <v>0</v>
      </c>
      <c r="K18" s="419">
        <f>SUMIFS('boc xe'!AB$2:AB$27,'boc xe'!$B$2:$B$27,'chia CN boc xe'!$C18)</f>
        <v>0</v>
      </c>
      <c r="L18" s="419">
        <f>SUMIFS('boc xe'!AC$2:AC$27,'boc xe'!$B$2:$B$27,'chia CN boc xe'!$C18)</f>
        <v>41.25</v>
      </c>
      <c r="M18" s="419">
        <f>SUMIFS('boc xe'!AD$2:AD$27,'boc xe'!$B$2:$B$27,'chia CN boc xe'!$C18)</f>
        <v>13.75</v>
      </c>
      <c r="N18" s="419">
        <f>SUMIFS('boc xe'!AE$2:AE$27,'boc xe'!$B$2:$B$27,'chia CN boc xe'!$C18)</f>
        <v>0</v>
      </c>
      <c r="O18" s="419">
        <f>SUMIFS('boc xe'!AF$2:AF$27,'boc xe'!$B$2:$B$27,'chia CN boc xe'!$C18)</f>
        <v>0</v>
      </c>
      <c r="P18" s="419">
        <f>SUMIFS('boc xe'!AG$2:AG$27,'boc xe'!$B$2:$B$27,'chia CN boc xe'!$C18)</f>
        <v>0</v>
      </c>
      <c r="Q18" s="419">
        <f>SUMIFS('boc xe'!AH$2:AH$27,'boc xe'!$B$2:$B$27,'chia CN boc xe'!$C18)</f>
        <v>1.25</v>
      </c>
      <c r="R18" s="419">
        <f>SUMIFS('boc xe'!AI$2:AI$27,'boc xe'!$B$2:$B$27,'chia CN boc xe'!$C18)</f>
        <v>0</v>
      </c>
      <c r="S18" s="419">
        <f>SUMIFS('boc xe'!AJ$2:AJ$27,'boc xe'!$B$2:$B$27,'chia CN boc xe'!$C18)</f>
        <v>0</v>
      </c>
      <c r="U18" s="542" t="e">
        <f>'BANG LUONG 1'!#REF!</f>
        <v>#REF!</v>
      </c>
      <c r="V18" s="81">
        <f t="shared" si="1"/>
        <v>0</v>
      </c>
      <c r="W18" s="81">
        <f t="shared" si="2"/>
        <v>0</v>
      </c>
      <c r="X18" s="81">
        <f t="shared" si="3"/>
        <v>0</v>
      </c>
      <c r="Y18" s="81">
        <f t="shared" si="4"/>
        <v>0</v>
      </c>
      <c r="Z18" s="81">
        <f t="shared" si="5"/>
        <v>0</v>
      </c>
      <c r="AA18" s="81">
        <f t="shared" si="6"/>
        <v>0</v>
      </c>
      <c r="AB18" s="81">
        <f t="shared" si="7"/>
        <v>0</v>
      </c>
      <c r="AC18" s="81">
        <f t="shared" si="8"/>
        <v>0</v>
      </c>
      <c r="AD18" s="81">
        <f t="shared" si="9"/>
        <v>0</v>
      </c>
      <c r="AE18" s="81">
        <f t="shared" si="10"/>
        <v>0</v>
      </c>
      <c r="AF18" s="81">
        <f t="shared" si="11"/>
        <v>0</v>
      </c>
      <c r="AG18" s="81">
        <f t="shared" si="12"/>
        <v>0</v>
      </c>
      <c r="AH18" s="81">
        <f t="shared" si="13"/>
        <v>0</v>
      </c>
      <c r="AI18" s="81">
        <f t="shared" si="14"/>
        <v>0</v>
      </c>
      <c r="AJ18" s="81">
        <f t="shared" si="15"/>
        <v>0</v>
      </c>
      <c r="AK18" s="81">
        <f t="shared" si="16"/>
        <v>0</v>
      </c>
    </row>
    <row r="19" spans="1:37" x14ac:dyDescent="0.25">
      <c r="A19" s="421">
        <v>17</v>
      </c>
      <c r="B19" s="542" t="s">
        <v>617</v>
      </c>
      <c r="C19" s="421">
        <v>4</v>
      </c>
      <c r="D19" s="419">
        <f>SUMIFS('boc xe'!U$2:U$27,'boc xe'!$B$2:$B$27,'chia CN boc xe'!$C19)</f>
        <v>0</v>
      </c>
      <c r="E19" s="419">
        <f>SUMIFS('boc xe'!V$2:V$27,'boc xe'!$B$2:$B$27,'chia CN boc xe'!$C19)</f>
        <v>0</v>
      </c>
      <c r="F19" s="419">
        <f>SUMIFS('boc xe'!W$2:W$27,'boc xe'!$B$2:$B$27,'chia CN boc xe'!$C19)</f>
        <v>0</v>
      </c>
      <c r="G19" s="419">
        <f>SUMIFS('boc xe'!X$2:X$27,'boc xe'!$B$2:$B$27,'chia CN boc xe'!$C19)</f>
        <v>0</v>
      </c>
      <c r="H19" s="419">
        <f>SUMIFS('boc xe'!Y$2:Y$27,'boc xe'!$B$2:$B$27,'chia CN boc xe'!$C19)</f>
        <v>0</v>
      </c>
      <c r="I19" s="419">
        <f>SUMIFS('boc xe'!Z$2:Z$27,'boc xe'!$B$2:$B$27,'chia CN boc xe'!$C19)</f>
        <v>16.666666666666668</v>
      </c>
      <c r="J19" s="419">
        <f>SUMIFS('boc xe'!AA$2:AA$27,'boc xe'!$B$2:$B$27,'chia CN boc xe'!$C19)</f>
        <v>0</v>
      </c>
      <c r="K19" s="419">
        <f>SUMIFS('boc xe'!AB$2:AB$27,'boc xe'!$B$2:$B$27,'chia CN boc xe'!$C19)</f>
        <v>0</v>
      </c>
      <c r="L19" s="419">
        <f>SUMIFS('boc xe'!AC$2:AC$27,'boc xe'!$B$2:$B$27,'chia CN boc xe'!$C19)</f>
        <v>0</v>
      </c>
      <c r="M19" s="419">
        <f>SUMIFS('boc xe'!AD$2:AD$27,'boc xe'!$B$2:$B$27,'chia CN boc xe'!$C19)</f>
        <v>0</v>
      </c>
      <c r="N19" s="419">
        <f>SUMIFS('boc xe'!AE$2:AE$27,'boc xe'!$B$2:$B$27,'chia CN boc xe'!$C19)</f>
        <v>0</v>
      </c>
      <c r="O19" s="419">
        <f>SUMIFS('boc xe'!AF$2:AF$27,'boc xe'!$B$2:$B$27,'chia CN boc xe'!$C19)</f>
        <v>0</v>
      </c>
      <c r="P19" s="419">
        <f>SUMIFS('boc xe'!AG$2:AG$27,'boc xe'!$B$2:$B$27,'chia CN boc xe'!$C19)</f>
        <v>0</v>
      </c>
      <c r="Q19" s="419">
        <f>SUMIFS('boc xe'!AH$2:AH$27,'boc xe'!$B$2:$B$27,'chia CN boc xe'!$C19)</f>
        <v>0</v>
      </c>
      <c r="R19" s="419">
        <f>SUMIFS('boc xe'!AI$2:AI$27,'boc xe'!$B$2:$B$27,'chia CN boc xe'!$C19)</f>
        <v>0</v>
      </c>
      <c r="S19" s="419">
        <f>SUMIFS('boc xe'!AJ$2:AJ$27,'boc xe'!$B$2:$B$27,'chia CN boc xe'!$C19)</f>
        <v>0</v>
      </c>
      <c r="U19" s="543" t="e">
        <f>'BANG LUONG 1'!#REF!</f>
        <v>#REF!</v>
      </c>
      <c r="V19" s="81">
        <f t="shared" si="1"/>
        <v>0</v>
      </c>
      <c r="W19" s="81">
        <f t="shared" si="2"/>
        <v>0</v>
      </c>
      <c r="X19" s="81">
        <f t="shared" si="3"/>
        <v>0</v>
      </c>
      <c r="Y19" s="81">
        <f t="shared" si="4"/>
        <v>0</v>
      </c>
      <c r="Z19" s="81">
        <f t="shared" si="5"/>
        <v>0</v>
      </c>
      <c r="AA19" s="81">
        <f t="shared" si="6"/>
        <v>0</v>
      </c>
      <c r="AB19" s="81">
        <f t="shared" si="7"/>
        <v>0</v>
      </c>
      <c r="AC19" s="81">
        <f t="shared" si="8"/>
        <v>0</v>
      </c>
      <c r="AD19" s="81">
        <f t="shared" si="9"/>
        <v>0</v>
      </c>
      <c r="AE19" s="81">
        <f t="shared" si="10"/>
        <v>0</v>
      </c>
      <c r="AF19" s="81">
        <f t="shared" si="11"/>
        <v>0</v>
      </c>
      <c r="AG19" s="81">
        <f t="shared" si="12"/>
        <v>0</v>
      </c>
      <c r="AH19" s="81">
        <f t="shared" si="13"/>
        <v>0</v>
      </c>
      <c r="AI19" s="81">
        <f t="shared" si="14"/>
        <v>0</v>
      </c>
      <c r="AJ19" s="81">
        <f t="shared" si="15"/>
        <v>0</v>
      </c>
      <c r="AK19" s="81">
        <f t="shared" si="16"/>
        <v>0</v>
      </c>
    </row>
    <row r="20" spans="1:37" x14ac:dyDescent="0.25">
      <c r="A20" s="421">
        <v>18</v>
      </c>
      <c r="B20" s="542" t="s">
        <v>618</v>
      </c>
      <c r="C20" s="421">
        <v>4</v>
      </c>
      <c r="D20" s="419">
        <f>SUMIFS('boc xe'!U$2:U$27,'boc xe'!$B$2:$B$27,'chia CN boc xe'!$C20)</f>
        <v>0</v>
      </c>
      <c r="E20" s="419">
        <f>SUMIFS('boc xe'!V$2:V$27,'boc xe'!$B$2:$B$27,'chia CN boc xe'!$C20)</f>
        <v>0</v>
      </c>
      <c r="F20" s="419">
        <f>SUMIFS('boc xe'!W$2:W$27,'boc xe'!$B$2:$B$27,'chia CN boc xe'!$C20)</f>
        <v>0</v>
      </c>
      <c r="G20" s="419">
        <f>SUMIFS('boc xe'!X$2:X$27,'boc xe'!$B$2:$B$27,'chia CN boc xe'!$C20)</f>
        <v>0</v>
      </c>
      <c r="H20" s="419">
        <f>SUMIFS('boc xe'!Y$2:Y$27,'boc xe'!$B$2:$B$27,'chia CN boc xe'!$C20)</f>
        <v>0</v>
      </c>
      <c r="I20" s="419">
        <f>SUMIFS('boc xe'!Z$2:Z$27,'boc xe'!$B$2:$B$27,'chia CN boc xe'!$C20)</f>
        <v>16.666666666666668</v>
      </c>
      <c r="J20" s="419">
        <f>SUMIFS('boc xe'!AA$2:AA$27,'boc xe'!$B$2:$B$27,'chia CN boc xe'!$C20)</f>
        <v>0</v>
      </c>
      <c r="K20" s="419">
        <f>SUMIFS('boc xe'!AB$2:AB$27,'boc xe'!$B$2:$B$27,'chia CN boc xe'!$C20)</f>
        <v>0</v>
      </c>
      <c r="L20" s="419">
        <f>SUMIFS('boc xe'!AC$2:AC$27,'boc xe'!$B$2:$B$27,'chia CN boc xe'!$C20)</f>
        <v>0</v>
      </c>
      <c r="M20" s="419">
        <f>SUMIFS('boc xe'!AD$2:AD$27,'boc xe'!$B$2:$B$27,'chia CN boc xe'!$C20)</f>
        <v>0</v>
      </c>
      <c r="N20" s="419">
        <f>SUMIFS('boc xe'!AE$2:AE$27,'boc xe'!$B$2:$B$27,'chia CN boc xe'!$C20)</f>
        <v>0</v>
      </c>
      <c r="O20" s="419">
        <f>SUMIFS('boc xe'!AF$2:AF$27,'boc xe'!$B$2:$B$27,'chia CN boc xe'!$C20)</f>
        <v>0</v>
      </c>
      <c r="P20" s="419">
        <f>SUMIFS('boc xe'!AG$2:AG$27,'boc xe'!$B$2:$B$27,'chia CN boc xe'!$C20)</f>
        <v>0</v>
      </c>
      <c r="Q20" s="419">
        <f>SUMIFS('boc xe'!AH$2:AH$27,'boc xe'!$B$2:$B$27,'chia CN boc xe'!$C20)</f>
        <v>0</v>
      </c>
      <c r="R20" s="419">
        <f>SUMIFS('boc xe'!AI$2:AI$27,'boc xe'!$B$2:$B$27,'chia CN boc xe'!$C20)</f>
        <v>0</v>
      </c>
      <c r="S20" s="419">
        <f>SUMIFS('boc xe'!AJ$2:AJ$27,'boc xe'!$B$2:$B$27,'chia CN boc xe'!$C20)</f>
        <v>0</v>
      </c>
      <c r="U20" s="254" t="e">
        <f>'BANG LUONG 1'!#REF!</f>
        <v>#REF!</v>
      </c>
      <c r="V20" s="81">
        <f t="shared" si="1"/>
        <v>0</v>
      </c>
      <c r="W20" s="81">
        <f t="shared" si="2"/>
        <v>0</v>
      </c>
      <c r="X20" s="81">
        <f t="shared" si="3"/>
        <v>0</v>
      </c>
      <c r="Y20" s="81">
        <f t="shared" si="4"/>
        <v>0</v>
      </c>
      <c r="Z20" s="81">
        <f t="shared" si="5"/>
        <v>0</v>
      </c>
      <c r="AA20" s="81">
        <f t="shared" si="6"/>
        <v>0</v>
      </c>
      <c r="AB20" s="81">
        <f t="shared" si="7"/>
        <v>0</v>
      </c>
      <c r="AC20" s="81">
        <f t="shared" si="8"/>
        <v>0</v>
      </c>
      <c r="AD20" s="81">
        <f t="shared" si="9"/>
        <v>0</v>
      </c>
      <c r="AE20" s="81">
        <f t="shared" si="10"/>
        <v>0</v>
      </c>
      <c r="AF20" s="81">
        <f t="shared" si="11"/>
        <v>0</v>
      </c>
      <c r="AG20" s="81">
        <f t="shared" si="12"/>
        <v>0</v>
      </c>
      <c r="AH20" s="81">
        <f t="shared" si="13"/>
        <v>0</v>
      </c>
      <c r="AI20" s="81">
        <f t="shared" si="14"/>
        <v>0</v>
      </c>
      <c r="AJ20" s="81">
        <f t="shared" si="15"/>
        <v>0</v>
      </c>
      <c r="AK20" s="81">
        <f t="shared" si="16"/>
        <v>0</v>
      </c>
    </row>
    <row r="21" spans="1:37" x14ac:dyDescent="0.25">
      <c r="A21" s="421">
        <v>19</v>
      </c>
      <c r="B21" s="542" t="s">
        <v>620</v>
      </c>
      <c r="C21" s="421">
        <v>4</v>
      </c>
      <c r="D21" s="419">
        <f>SUMIFS('boc xe'!U$2:U$27,'boc xe'!$B$2:$B$27,'chia CN boc xe'!$C21)</f>
        <v>0</v>
      </c>
      <c r="E21" s="419">
        <f>SUMIFS('boc xe'!V$2:V$27,'boc xe'!$B$2:$B$27,'chia CN boc xe'!$C21)</f>
        <v>0</v>
      </c>
      <c r="F21" s="419">
        <f>SUMIFS('boc xe'!W$2:W$27,'boc xe'!$B$2:$B$27,'chia CN boc xe'!$C21)</f>
        <v>0</v>
      </c>
      <c r="G21" s="419">
        <f>SUMIFS('boc xe'!X$2:X$27,'boc xe'!$B$2:$B$27,'chia CN boc xe'!$C21)</f>
        <v>0</v>
      </c>
      <c r="H21" s="419">
        <f>SUMIFS('boc xe'!Y$2:Y$27,'boc xe'!$B$2:$B$27,'chia CN boc xe'!$C21)</f>
        <v>0</v>
      </c>
      <c r="I21" s="419">
        <f>SUMIFS('boc xe'!Z$2:Z$27,'boc xe'!$B$2:$B$27,'chia CN boc xe'!$C21)</f>
        <v>16.666666666666668</v>
      </c>
      <c r="J21" s="419">
        <f>SUMIFS('boc xe'!AA$2:AA$27,'boc xe'!$B$2:$B$27,'chia CN boc xe'!$C21)</f>
        <v>0</v>
      </c>
      <c r="K21" s="419">
        <f>SUMIFS('boc xe'!AB$2:AB$27,'boc xe'!$B$2:$B$27,'chia CN boc xe'!$C21)</f>
        <v>0</v>
      </c>
      <c r="L21" s="419">
        <f>SUMIFS('boc xe'!AC$2:AC$27,'boc xe'!$B$2:$B$27,'chia CN boc xe'!$C21)</f>
        <v>0</v>
      </c>
      <c r="M21" s="419">
        <f>SUMIFS('boc xe'!AD$2:AD$27,'boc xe'!$B$2:$B$27,'chia CN boc xe'!$C21)</f>
        <v>0</v>
      </c>
      <c r="N21" s="419">
        <f>SUMIFS('boc xe'!AE$2:AE$27,'boc xe'!$B$2:$B$27,'chia CN boc xe'!$C21)</f>
        <v>0</v>
      </c>
      <c r="O21" s="419">
        <f>SUMIFS('boc xe'!AF$2:AF$27,'boc xe'!$B$2:$B$27,'chia CN boc xe'!$C21)</f>
        <v>0</v>
      </c>
      <c r="P21" s="419">
        <f>SUMIFS('boc xe'!AG$2:AG$27,'boc xe'!$B$2:$B$27,'chia CN boc xe'!$C21)</f>
        <v>0</v>
      </c>
      <c r="Q21" s="419">
        <f>SUMIFS('boc xe'!AH$2:AH$27,'boc xe'!$B$2:$B$27,'chia CN boc xe'!$C21)</f>
        <v>0</v>
      </c>
      <c r="R21" s="419">
        <f>SUMIFS('boc xe'!AI$2:AI$27,'boc xe'!$B$2:$B$27,'chia CN boc xe'!$C21)</f>
        <v>0</v>
      </c>
      <c r="S21" s="419">
        <f>SUMIFS('boc xe'!AJ$2:AJ$27,'boc xe'!$B$2:$B$27,'chia CN boc xe'!$C21)</f>
        <v>0</v>
      </c>
      <c r="U21" s="254" t="str">
        <f>'BANG LUONG 1'!C50</f>
        <v>Triệu Minh Tuấn</v>
      </c>
      <c r="V21" s="81">
        <f t="shared" si="1"/>
        <v>0</v>
      </c>
      <c r="W21" s="81">
        <f t="shared" si="2"/>
        <v>0</v>
      </c>
      <c r="X21" s="81">
        <f t="shared" si="3"/>
        <v>0</v>
      </c>
      <c r="Y21" s="81">
        <f t="shared" si="4"/>
        <v>0</v>
      </c>
      <c r="Z21" s="81">
        <f t="shared" si="5"/>
        <v>0</v>
      </c>
      <c r="AA21" s="81">
        <f t="shared" si="6"/>
        <v>0</v>
      </c>
      <c r="AB21" s="81">
        <f t="shared" si="7"/>
        <v>0</v>
      </c>
      <c r="AC21" s="81">
        <f t="shared" si="8"/>
        <v>0</v>
      </c>
      <c r="AD21" s="81">
        <f t="shared" si="9"/>
        <v>0</v>
      </c>
      <c r="AE21" s="81">
        <f t="shared" si="10"/>
        <v>0</v>
      </c>
      <c r="AF21" s="81">
        <f t="shared" si="11"/>
        <v>0</v>
      </c>
      <c r="AG21" s="81">
        <f t="shared" si="12"/>
        <v>0</v>
      </c>
      <c r="AH21" s="81">
        <f t="shared" si="13"/>
        <v>0</v>
      </c>
      <c r="AI21" s="81">
        <f t="shared" si="14"/>
        <v>0</v>
      </c>
      <c r="AJ21" s="81">
        <f t="shared" si="15"/>
        <v>0</v>
      </c>
      <c r="AK21" s="81">
        <f t="shared" si="16"/>
        <v>0</v>
      </c>
    </row>
    <row r="22" spans="1:37" x14ac:dyDescent="0.25">
      <c r="A22" s="421">
        <v>20</v>
      </c>
      <c r="B22" s="542" t="s">
        <v>742</v>
      </c>
      <c r="C22" s="421">
        <v>4</v>
      </c>
      <c r="D22" s="419">
        <f>SUMIFS('boc xe'!U$2:U$27,'boc xe'!$B$2:$B$27,'chia CN boc xe'!$C22)</f>
        <v>0</v>
      </c>
      <c r="E22" s="419">
        <f>SUMIFS('boc xe'!V$2:V$27,'boc xe'!$B$2:$B$27,'chia CN boc xe'!$C22)</f>
        <v>0</v>
      </c>
      <c r="F22" s="419">
        <f>SUMIFS('boc xe'!W$2:W$27,'boc xe'!$B$2:$B$27,'chia CN boc xe'!$C22)</f>
        <v>0</v>
      </c>
      <c r="G22" s="419">
        <f>SUMIFS('boc xe'!X$2:X$27,'boc xe'!$B$2:$B$27,'chia CN boc xe'!$C22)</f>
        <v>0</v>
      </c>
      <c r="H22" s="419">
        <f>SUMIFS('boc xe'!Y$2:Y$27,'boc xe'!$B$2:$B$27,'chia CN boc xe'!$C22)</f>
        <v>0</v>
      </c>
      <c r="I22" s="419">
        <f>SUMIFS('boc xe'!Z$2:Z$27,'boc xe'!$B$2:$B$27,'chia CN boc xe'!$C22)</f>
        <v>16.666666666666668</v>
      </c>
      <c r="J22" s="419">
        <f>SUMIFS('boc xe'!AA$2:AA$27,'boc xe'!$B$2:$B$27,'chia CN boc xe'!$C22)</f>
        <v>0</v>
      </c>
      <c r="K22" s="419">
        <f>SUMIFS('boc xe'!AB$2:AB$27,'boc xe'!$B$2:$B$27,'chia CN boc xe'!$C22)</f>
        <v>0</v>
      </c>
      <c r="L22" s="419">
        <f>SUMIFS('boc xe'!AC$2:AC$27,'boc xe'!$B$2:$B$27,'chia CN boc xe'!$C22)</f>
        <v>0</v>
      </c>
      <c r="M22" s="419">
        <f>SUMIFS('boc xe'!AD$2:AD$27,'boc xe'!$B$2:$B$27,'chia CN boc xe'!$C22)</f>
        <v>0</v>
      </c>
      <c r="N22" s="419">
        <f>SUMIFS('boc xe'!AE$2:AE$27,'boc xe'!$B$2:$B$27,'chia CN boc xe'!$C22)</f>
        <v>0</v>
      </c>
      <c r="O22" s="419">
        <f>SUMIFS('boc xe'!AF$2:AF$27,'boc xe'!$B$2:$B$27,'chia CN boc xe'!$C22)</f>
        <v>0</v>
      </c>
      <c r="P22" s="419">
        <f>SUMIFS('boc xe'!AG$2:AG$27,'boc xe'!$B$2:$B$27,'chia CN boc xe'!$C22)</f>
        <v>0</v>
      </c>
      <c r="Q22" s="419">
        <f>SUMIFS('boc xe'!AH$2:AH$27,'boc xe'!$B$2:$B$27,'chia CN boc xe'!$C22)</f>
        <v>0</v>
      </c>
      <c r="R22" s="419">
        <f>SUMIFS('boc xe'!AI$2:AI$27,'boc xe'!$B$2:$B$27,'chia CN boc xe'!$C22)</f>
        <v>0</v>
      </c>
      <c r="S22" s="419">
        <f>SUMIFS('boc xe'!AJ$2:AJ$27,'boc xe'!$B$2:$B$27,'chia CN boc xe'!$C22)</f>
        <v>0</v>
      </c>
      <c r="U22" s="254" t="str">
        <f>'BANG LUONG 1'!C41</f>
        <v>Nguyễn Văn Phụng</v>
      </c>
      <c r="V22" s="81">
        <f t="shared" si="1"/>
        <v>0</v>
      </c>
      <c r="W22" s="81">
        <f t="shared" si="2"/>
        <v>0</v>
      </c>
      <c r="X22" s="81">
        <f t="shared" si="3"/>
        <v>0</v>
      </c>
      <c r="Y22" s="81">
        <f t="shared" si="4"/>
        <v>0</v>
      </c>
      <c r="Z22" s="81">
        <f t="shared" si="5"/>
        <v>0</v>
      </c>
      <c r="AA22" s="81">
        <f t="shared" si="6"/>
        <v>0</v>
      </c>
      <c r="AB22" s="81">
        <f t="shared" si="7"/>
        <v>0</v>
      </c>
      <c r="AC22" s="81">
        <f t="shared" si="8"/>
        <v>0</v>
      </c>
      <c r="AD22" s="81">
        <f t="shared" si="9"/>
        <v>0</v>
      </c>
      <c r="AE22" s="81">
        <f t="shared" si="10"/>
        <v>0</v>
      </c>
      <c r="AF22" s="81">
        <f t="shared" si="11"/>
        <v>0</v>
      </c>
      <c r="AG22" s="81">
        <f t="shared" si="12"/>
        <v>0</v>
      </c>
      <c r="AH22" s="81">
        <f t="shared" si="13"/>
        <v>0</v>
      </c>
      <c r="AI22" s="81">
        <f t="shared" si="14"/>
        <v>0</v>
      </c>
      <c r="AJ22" s="81">
        <f t="shared" si="15"/>
        <v>0</v>
      </c>
      <c r="AK22" s="81">
        <f t="shared" si="16"/>
        <v>0</v>
      </c>
    </row>
    <row r="23" spans="1:37" x14ac:dyDescent="0.25">
      <c r="A23" s="421">
        <v>21</v>
      </c>
      <c r="B23" s="542" t="s">
        <v>746</v>
      </c>
      <c r="C23" s="421">
        <v>4</v>
      </c>
      <c r="D23" s="419">
        <f>SUMIFS('boc xe'!U$2:U$27,'boc xe'!$B$2:$B$27,'chia CN boc xe'!$C23)</f>
        <v>0</v>
      </c>
      <c r="E23" s="419">
        <f>SUMIFS('boc xe'!V$2:V$27,'boc xe'!$B$2:$B$27,'chia CN boc xe'!$C23)</f>
        <v>0</v>
      </c>
      <c r="F23" s="419">
        <f>SUMIFS('boc xe'!W$2:W$27,'boc xe'!$B$2:$B$27,'chia CN boc xe'!$C23)</f>
        <v>0</v>
      </c>
      <c r="G23" s="419">
        <f>SUMIFS('boc xe'!X$2:X$27,'boc xe'!$B$2:$B$27,'chia CN boc xe'!$C23)</f>
        <v>0</v>
      </c>
      <c r="H23" s="419">
        <f>SUMIFS('boc xe'!Y$2:Y$27,'boc xe'!$B$2:$B$27,'chia CN boc xe'!$C23)</f>
        <v>0</v>
      </c>
      <c r="I23" s="419">
        <f>SUMIFS('boc xe'!Z$2:Z$27,'boc xe'!$B$2:$B$27,'chia CN boc xe'!$C23)</f>
        <v>16.666666666666668</v>
      </c>
      <c r="J23" s="419">
        <f>SUMIFS('boc xe'!AA$2:AA$27,'boc xe'!$B$2:$B$27,'chia CN boc xe'!$C23)</f>
        <v>0</v>
      </c>
      <c r="K23" s="419">
        <f>SUMIFS('boc xe'!AB$2:AB$27,'boc xe'!$B$2:$B$27,'chia CN boc xe'!$C23)</f>
        <v>0</v>
      </c>
      <c r="L23" s="419">
        <f>SUMIFS('boc xe'!AC$2:AC$27,'boc xe'!$B$2:$B$27,'chia CN boc xe'!$C23)</f>
        <v>0</v>
      </c>
      <c r="M23" s="419">
        <f>SUMIFS('boc xe'!AD$2:AD$27,'boc xe'!$B$2:$B$27,'chia CN boc xe'!$C23)</f>
        <v>0</v>
      </c>
      <c r="N23" s="419">
        <f>SUMIFS('boc xe'!AE$2:AE$27,'boc xe'!$B$2:$B$27,'chia CN boc xe'!$C23)</f>
        <v>0</v>
      </c>
      <c r="O23" s="419">
        <f>SUMIFS('boc xe'!AF$2:AF$27,'boc xe'!$B$2:$B$27,'chia CN boc xe'!$C23)</f>
        <v>0</v>
      </c>
      <c r="P23" s="419">
        <f>SUMIFS('boc xe'!AG$2:AG$27,'boc xe'!$B$2:$B$27,'chia CN boc xe'!$C23)</f>
        <v>0</v>
      </c>
      <c r="Q23" s="419">
        <f>SUMIFS('boc xe'!AH$2:AH$27,'boc xe'!$B$2:$B$27,'chia CN boc xe'!$C23)</f>
        <v>0</v>
      </c>
      <c r="R23" s="419">
        <f>SUMIFS('boc xe'!AI$2:AI$27,'boc xe'!$B$2:$B$27,'chia CN boc xe'!$C23)</f>
        <v>0</v>
      </c>
      <c r="S23" s="419">
        <f>SUMIFS('boc xe'!AJ$2:AJ$27,'boc xe'!$B$2:$B$27,'chia CN boc xe'!$C23)</f>
        <v>0</v>
      </c>
      <c r="U23" s="254" t="e">
        <f>'BANG LUONG 1'!#REF!</f>
        <v>#REF!</v>
      </c>
      <c r="V23" s="81">
        <f t="shared" si="1"/>
        <v>0</v>
      </c>
      <c r="W23" s="81">
        <f t="shared" si="2"/>
        <v>0</v>
      </c>
      <c r="X23" s="81">
        <f t="shared" si="3"/>
        <v>0</v>
      </c>
      <c r="Y23" s="81">
        <f t="shared" si="4"/>
        <v>0</v>
      </c>
      <c r="Z23" s="81">
        <f t="shared" si="5"/>
        <v>0</v>
      </c>
      <c r="AA23" s="81">
        <f t="shared" si="6"/>
        <v>0</v>
      </c>
      <c r="AB23" s="81">
        <f t="shared" si="7"/>
        <v>0</v>
      </c>
      <c r="AC23" s="81">
        <f t="shared" si="8"/>
        <v>0</v>
      </c>
      <c r="AD23" s="81">
        <f t="shared" si="9"/>
        <v>0</v>
      </c>
      <c r="AE23" s="81">
        <f t="shared" si="10"/>
        <v>0</v>
      </c>
      <c r="AF23" s="81">
        <f t="shared" si="11"/>
        <v>0</v>
      </c>
      <c r="AG23" s="81">
        <f t="shared" si="12"/>
        <v>0</v>
      </c>
      <c r="AH23" s="81">
        <f t="shared" si="13"/>
        <v>0</v>
      </c>
      <c r="AI23" s="81">
        <f t="shared" si="14"/>
        <v>0</v>
      </c>
      <c r="AJ23" s="81">
        <f t="shared" si="15"/>
        <v>0</v>
      </c>
      <c r="AK23" s="81">
        <f t="shared" si="16"/>
        <v>0</v>
      </c>
    </row>
    <row r="24" spans="1:37" x14ac:dyDescent="0.25">
      <c r="A24" s="421">
        <v>22</v>
      </c>
      <c r="B24" s="542" t="s">
        <v>751</v>
      </c>
      <c r="C24" s="421">
        <v>4</v>
      </c>
      <c r="D24" s="419">
        <f>SUMIFS('boc xe'!U$2:U$27,'boc xe'!$B$2:$B$27,'chia CN boc xe'!$C24)</f>
        <v>0</v>
      </c>
      <c r="E24" s="419">
        <f>SUMIFS('boc xe'!V$2:V$27,'boc xe'!$B$2:$B$27,'chia CN boc xe'!$C24)</f>
        <v>0</v>
      </c>
      <c r="F24" s="419">
        <f>SUMIFS('boc xe'!W$2:W$27,'boc xe'!$B$2:$B$27,'chia CN boc xe'!$C24)</f>
        <v>0</v>
      </c>
      <c r="G24" s="419">
        <f>SUMIFS('boc xe'!X$2:X$27,'boc xe'!$B$2:$B$27,'chia CN boc xe'!$C24)</f>
        <v>0</v>
      </c>
      <c r="H24" s="419">
        <f>SUMIFS('boc xe'!Y$2:Y$27,'boc xe'!$B$2:$B$27,'chia CN boc xe'!$C24)</f>
        <v>0</v>
      </c>
      <c r="I24" s="419">
        <f>SUMIFS('boc xe'!Z$2:Z$27,'boc xe'!$B$2:$B$27,'chia CN boc xe'!$C24)</f>
        <v>16.666666666666668</v>
      </c>
      <c r="J24" s="419">
        <f>SUMIFS('boc xe'!AA$2:AA$27,'boc xe'!$B$2:$B$27,'chia CN boc xe'!$C24)</f>
        <v>0</v>
      </c>
      <c r="K24" s="419">
        <f>SUMIFS('boc xe'!AB$2:AB$27,'boc xe'!$B$2:$B$27,'chia CN boc xe'!$C24)</f>
        <v>0</v>
      </c>
      <c r="L24" s="419">
        <f>SUMIFS('boc xe'!AC$2:AC$27,'boc xe'!$B$2:$B$27,'chia CN boc xe'!$C24)</f>
        <v>0</v>
      </c>
      <c r="M24" s="419">
        <f>SUMIFS('boc xe'!AD$2:AD$27,'boc xe'!$B$2:$B$27,'chia CN boc xe'!$C24)</f>
        <v>0</v>
      </c>
      <c r="N24" s="419">
        <f>SUMIFS('boc xe'!AE$2:AE$27,'boc xe'!$B$2:$B$27,'chia CN boc xe'!$C24)</f>
        <v>0</v>
      </c>
      <c r="O24" s="419">
        <f>SUMIFS('boc xe'!AF$2:AF$27,'boc xe'!$B$2:$B$27,'chia CN boc xe'!$C24)</f>
        <v>0</v>
      </c>
      <c r="P24" s="419">
        <f>SUMIFS('boc xe'!AG$2:AG$27,'boc xe'!$B$2:$B$27,'chia CN boc xe'!$C24)</f>
        <v>0</v>
      </c>
      <c r="Q24" s="419">
        <f>SUMIFS('boc xe'!AH$2:AH$27,'boc xe'!$B$2:$B$27,'chia CN boc xe'!$C24)</f>
        <v>0</v>
      </c>
      <c r="R24" s="419">
        <f>SUMIFS('boc xe'!AI$2:AI$27,'boc xe'!$B$2:$B$27,'chia CN boc xe'!$C24)</f>
        <v>0</v>
      </c>
      <c r="S24" s="419">
        <f>SUMIFS('boc xe'!AJ$2:AJ$27,'boc xe'!$B$2:$B$27,'chia CN boc xe'!$C24)</f>
        <v>0</v>
      </c>
      <c r="U24" s="254" t="str">
        <f>'BANG LUONG 1'!C8</f>
        <v xml:space="preserve">Nguyễn Minh Tuấn </v>
      </c>
      <c r="V24" s="81">
        <f t="shared" si="1"/>
        <v>0</v>
      </c>
      <c r="W24" s="81">
        <f t="shared" si="2"/>
        <v>0</v>
      </c>
      <c r="X24" s="81">
        <f t="shared" si="3"/>
        <v>0</v>
      </c>
      <c r="Y24" s="81">
        <f t="shared" si="4"/>
        <v>0</v>
      </c>
      <c r="Z24" s="81">
        <f t="shared" si="5"/>
        <v>0</v>
      </c>
      <c r="AA24" s="81">
        <f t="shared" si="6"/>
        <v>0</v>
      </c>
      <c r="AB24" s="81">
        <f t="shared" si="7"/>
        <v>0</v>
      </c>
      <c r="AC24" s="81">
        <f t="shared" si="8"/>
        <v>0</v>
      </c>
      <c r="AD24" s="81">
        <f t="shared" si="9"/>
        <v>0</v>
      </c>
      <c r="AE24" s="81">
        <f t="shared" si="10"/>
        <v>0</v>
      </c>
      <c r="AF24" s="81">
        <f t="shared" si="11"/>
        <v>0</v>
      </c>
      <c r="AG24" s="81">
        <f t="shared" si="12"/>
        <v>0</v>
      </c>
      <c r="AH24" s="81">
        <f t="shared" si="13"/>
        <v>0</v>
      </c>
      <c r="AI24" s="81">
        <f t="shared" si="14"/>
        <v>0</v>
      </c>
      <c r="AJ24" s="81">
        <f t="shared" si="15"/>
        <v>0</v>
      </c>
      <c r="AK24" s="81">
        <f t="shared" si="16"/>
        <v>0</v>
      </c>
    </row>
    <row r="25" spans="1:37" x14ac:dyDescent="0.25">
      <c r="A25" s="421">
        <v>23</v>
      </c>
      <c r="B25" s="542" t="s">
        <v>617</v>
      </c>
      <c r="C25" s="421">
        <v>5</v>
      </c>
      <c r="D25" s="419">
        <f>SUMIFS('boc xe'!U$2:U$27,'boc xe'!$B$2:$B$27,'chia CN boc xe'!$C25)</f>
        <v>0</v>
      </c>
      <c r="E25" s="419">
        <f>SUMIFS('boc xe'!V$2:V$27,'boc xe'!$B$2:$B$27,'chia CN boc xe'!$C25)</f>
        <v>40</v>
      </c>
      <c r="F25" s="419">
        <f>SUMIFS('boc xe'!W$2:W$27,'boc xe'!$B$2:$B$27,'chia CN boc xe'!$C25)</f>
        <v>3.6666666666666665</v>
      </c>
      <c r="G25" s="419">
        <f>SUMIFS('boc xe'!X$2:X$27,'boc xe'!$B$2:$B$27,'chia CN boc xe'!$C25)</f>
        <v>28.333333333333332</v>
      </c>
      <c r="H25" s="419">
        <f>SUMIFS('boc xe'!Y$2:Y$27,'boc xe'!$B$2:$B$27,'chia CN boc xe'!$C25)</f>
        <v>0</v>
      </c>
      <c r="I25" s="419">
        <f>SUMIFS('boc xe'!Z$2:Z$27,'boc xe'!$B$2:$B$27,'chia CN boc xe'!$C25)</f>
        <v>11.666666666666666</v>
      </c>
      <c r="J25" s="419">
        <f>SUMIFS('boc xe'!AA$2:AA$27,'boc xe'!$B$2:$B$27,'chia CN boc xe'!$C25)</f>
        <v>0</v>
      </c>
      <c r="K25" s="419">
        <f>SUMIFS('boc xe'!AB$2:AB$27,'boc xe'!$B$2:$B$27,'chia CN boc xe'!$C25)</f>
        <v>0</v>
      </c>
      <c r="L25" s="419">
        <f>SUMIFS('boc xe'!AC$2:AC$27,'boc xe'!$B$2:$B$27,'chia CN boc xe'!$C25)</f>
        <v>0</v>
      </c>
      <c r="M25" s="419">
        <f>SUMIFS('boc xe'!AD$2:AD$27,'boc xe'!$B$2:$B$27,'chia CN boc xe'!$C25)</f>
        <v>0</v>
      </c>
      <c r="N25" s="419">
        <f>SUMIFS('boc xe'!AE$2:AE$27,'boc xe'!$B$2:$B$27,'chia CN boc xe'!$C25)</f>
        <v>0</v>
      </c>
      <c r="O25" s="419">
        <f>SUMIFS('boc xe'!AF$2:AF$27,'boc xe'!$B$2:$B$27,'chia CN boc xe'!$C25)</f>
        <v>0</v>
      </c>
      <c r="P25" s="419">
        <f>SUMIFS('boc xe'!AG$2:AG$27,'boc xe'!$B$2:$B$27,'chia CN boc xe'!$C25)</f>
        <v>0</v>
      </c>
      <c r="Q25" s="419">
        <f>SUMIFS('boc xe'!AH$2:AH$27,'boc xe'!$B$2:$B$27,'chia CN boc xe'!$C25)</f>
        <v>0</v>
      </c>
      <c r="R25" s="419">
        <f>SUMIFS('boc xe'!AI$2:AI$27,'boc xe'!$B$2:$B$27,'chia CN boc xe'!$C25)</f>
        <v>0</v>
      </c>
      <c r="S25" s="419">
        <f>SUMIFS('boc xe'!AJ$2:AJ$27,'boc xe'!$B$2:$B$27,'chia CN boc xe'!$C25)</f>
        <v>0</v>
      </c>
      <c r="U25" s="254" t="e">
        <f>'BANG LUONG 1'!#REF!</f>
        <v>#REF!</v>
      </c>
      <c r="V25" s="81">
        <f t="shared" si="1"/>
        <v>0</v>
      </c>
      <c r="W25" s="81">
        <f t="shared" si="2"/>
        <v>0</v>
      </c>
      <c r="X25" s="81">
        <f t="shared" si="3"/>
        <v>0</v>
      </c>
      <c r="Y25" s="81">
        <f t="shared" si="4"/>
        <v>0</v>
      </c>
      <c r="Z25" s="81">
        <f t="shared" si="5"/>
        <v>0</v>
      </c>
      <c r="AA25" s="81">
        <f t="shared" si="6"/>
        <v>0</v>
      </c>
      <c r="AB25" s="81">
        <f t="shared" si="7"/>
        <v>0</v>
      </c>
      <c r="AC25" s="81">
        <f t="shared" si="8"/>
        <v>0</v>
      </c>
      <c r="AD25" s="81">
        <f t="shared" si="9"/>
        <v>0</v>
      </c>
      <c r="AE25" s="81">
        <f t="shared" si="10"/>
        <v>0</v>
      </c>
      <c r="AF25" s="81">
        <f t="shared" si="11"/>
        <v>0</v>
      </c>
      <c r="AG25" s="81">
        <f t="shared" si="12"/>
        <v>0</v>
      </c>
      <c r="AH25" s="81">
        <f t="shared" si="13"/>
        <v>0</v>
      </c>
      <c r="AI25" s="81">
        <f t="shared" si="14"/>
        <v>0</v>
      </c>
      <c r="AJ25" s="81">
        <f t="shared" si="15"/>
        <v>0</v>
      </c>
      <c r="AK25" s="81">
        <f t="shared" si="16"/>
        <v>0</v>
      </c>
    </row>
    <row r="26" spans="1:37" x14ac:dyDescent="0.25">
      <c r="A26" s="421">
        <v>24</v>
      </c>
      <c r="B26" s="542" t="s">
        <v>618</v>
      </c>
      <c r="C26" s="421">
        <v>5</v>
      </c>
      <c r="D26" s="419">
        <f>SUMIFS('boc xe'!U$2:U$27,'boc xe'!$B$2:$B$27,'chia CN boc xe'!$C26)</f>
        <v>0</v>
      </c>
      <c r="E26" s="419">
        <f>SUMIFS('boc xe'!V$2:V$27,'boc xe'!$B$2:$B$27,'chia CN boc xe'!$C26)</f>
        <v>40</v>
      </c>
      <c r="F26" s="419">
        <f>SUMIFS('boc xe'!W$2:W$27,'boc xe'!$B$2:$B$27,'chia CN boc xe'!$C26)</f>
        <v>3.6666666666666665</v>
      </c>
      <c r="G26" s="419">
        <f>SUMIFS('boc xe'!X$2:X$27,'boc xe'!$B$2:$B$27,'chia CN boc xe'!$C26)</f>
        <v>28.333333333333332</v>
      </c>
      <c r="H26" s="419">
        <f>SUMIFS('boc xe'!Y$2:Y$27,'boc xe'!$B$2:$B$27,'chia CN boc xe'!$C26)</f>
        <v>0</v>
      </c>
      <c r="I26" s="419">
        <f>SUMIFS('boc xe'!Z$2:Z$27,'boc xe'!$B$2:$B$27,'chia CN boc xe'!$C26)</f>
        <v>11.666666666666666</v>
      </c>
      <c r="J26" s="419">
        <f>SUMIFS('boc xe'!AA$2:AA$27,'boc xe'!$B$2:$B$27,'chia CN boc xe'!$C26)</f>
        <v>0</v>
      </c>
      <c r="K26" s="419">
        <f>SUMIFS('boc xe'!AB$2:AB$27,'boc xe'!$B$2:$B$27,'chia CN boc xe'!$C26)</f>
        <v>0</v>
      </c>
      <c r="L26" s="419">
        <f>SUMIFS('boc xe'!AC$2:AC$27,'boc xe'!$B$2:$B$27,'chia CN boc xe'!$C26)</f>
        <v>0</v>
      </c>
      <c r="M26" s="419">
        <f>SUMIFS('boc xe'!AD$2:AD$27,'boc xe'!$B$2:$B$27,'chia CN boc xe'!$C26)</f>
        <v>0</v>
      </c>
      <c r="N26" s="419">
        <f>SUMIFS('boc xe'!AE$2:AE$27,'boc xe'!$B$2:$B$27,'chia CN boc xe'!$C26)</f>
        <v>0</v>
      </c>
      <c r="O26" s="419">
        <f>SUMIFS('boc xe'!AF$2:AF$27,'boc xe'!$B$2:$B$27,'chia CN boc xe'!$C26)</f>
        <v>0</v>
      </c>
      <c r="P26" s="419">
        <f>SUMIFS('boc xe'!AG$2:AG$27,'boc xe'!$B$2:$B$27,'chia CN boc xe'!$C26)</f>
        <v>0</v>
      </c>
      <c r="Q26" s="419">
        <f>SUMIFS('boc xe'!AH$2:AH$27,'boc xe'!$B$2:$B$27,'chia CN boc xe'!$C26)</f>
        <v>0</v>
      </c>
      <c r="R26" s="419">
        <f>SUMIFS('boc xe'!AI$2:AI$27,'boc xe'!$B$2:$B$27,'chia CN boc xe'!$C26)</f>
        <v>0</v>
      </c>
      <c r="S26" s="419">
        <f>SUMIFS('boc xe'!AJ$2:AJ$27,'boc xe'!$B$2:$B$27,'chia CN boc xe'!$C26)</f>
        <v>0</v>
      </c>
      <c r="U26" s="254" t="str">
        <f>'BANG LUONG 1'!C10</f>
        <v xml:space="preserve">Triệu Bô Na </v>
      </c>
      <c r="V26" s="81">
        <f t="shared" si="1"/>
        <v>0</v>
      </c>
      <c r="W26" s="81">
        <f t="shared" si="2"/>
        <v>0</v>
      </c>
      <c r="X26" s="81">
        <f t="shared" si="3"/>
        <v>0</v>
      </c>
      <c r="Y26" s="81">
        <f t="shared" si="4"/>
        <v>0</v>
      </c>
      <c r="Z26" s="81">
        <f t="shared" si="5"/>
        <v>0</v>
      </c>
      <c r="AA26" s="81">
        <f t="shared" si="6"/>
        <v>0</v>
      </c>
      <c r="AB26" s="81">
        <f t="shared" si="7"/>
        <v>0</v>
      </c>
      <c r="AC26" s="81">
        <f t="shared" si="8"/>
        <v>0</v>
      </c>
      <c r="AD26" s="81">
        <f t="shared" si="9"/>
        <v>0</v>
      </c>
      <c r="AE26" s="81">
        <f t="shared" si="10"/>
        <v>0</v>
      </c>
      <c r="AF26" s="81">
        <f t="shared" si="11"/>
        <v>0</v>
      </c>
      <c r="AG26" s="81">
        <f t="shared" si="12"/>
        <v>0</v>
      </c>
      <c r="AH26" s="81">
        <f t="shared" si="13"/>
        <v>0</v>
      </c>
      <c r="AI26" s="81">
        <f t="shared" si="14"/>
        <v>0</v>
      </c>
      <c r="AJ26" s="81">
        <f t="shared" si="15"/>
        <v>0</v>
      </c>
      <c r="AK26" s="81">
        <f t="shared" si="16"/>
        <v>0</v>
      </c>
    </row>
    <row r="27" spans="1:37" x14ac:dyDescent="0.25">
      <c r="A27" s="421">
        <v>25</v>
      </c>
      <c r="B27" s="542" t="s">
        <v>620</v>
      </c>
      <c r="C27" s="421">
        <v>5</v>
      </c>
      <c r="D27" s="419">
        <f>SUMIFS('boc xe'!U$2:U$27,'boc xe'!$B$2:$B$27,'chia CN boc xe'!$C27)</f>
        <v>0</v>
      </c>
      <c r="E27" s="419">
        <f>SUMIFS('boc xe'!V$2:V$27,'boc xe'!$B$2:$B$27,'chia CN boc xe'!$C27)</f>
        <v>40</v>
      </c>
      <c r="F27" s="419">
        <f>SUMIFS('boc xe'!W$2:W$27,'boc xe'!$B$2:$B$27,'chia CN boc xe'!$C27)</f>
        <v>3.6666666666666665</v>
      </c>
      <c r="G27" s="419">
        <f>SUMIFS('boc xe'!X$2:X$27,'boc xe'!$B$2:$B$27,'chia CN boc xe'!$C27)</f>
        <v>28.333333333333332</v>
      </c>
      <c r="H27" s="419">
        <f>SUMIFS('boc xe'!Y$2:Y$27,'boc xe'!$B$2:$B$27,'chia CN boc xe'!$C27)</f>
        <v>0</v>
      </c>
      <c r="I27" s="419">
        <f>SUMIFS('boc xe'!Z$2:Z$27,'boc xe'!$B$2:$B$27,'chia CN boc xe'!$C27)</f>
        <v>11.666666666666666</v>
      </c>
      <c r="J27" s="419">
        <f>SUMIFS('boc xe'!AA$2:AA$27,'boc xe'!$B$2:$B$27,'chia CN boc xe'!$C27)</f>
        <v>0</v>
      </c>
      <c r="K27" s="419">
        <f>SUMIFS('boc xe'!AB$2:AB$27,'boc xe'!$B$2:$B$27,'chia CN boc xe'!$C27)</f>
        <v>0</v>
      </c>
      <c r="L27" s="419">
        <f>SUMIFS('boc xe'!AC$2:AC$27,'boc xe'!$B$2:$B$27,'chia CN boc xe'!$C27)</f>
        <v>0</v>
      </c>
      <c r="M27" s="419">
        <f>SUMIFS('boc xe'!AD$2:AD$27,'boc xe'!$B$2:$B$27,'chia CN boc xe'!$C27)</f>
        <v>0</v>
      </c>
      <c r="N27" s="419">
        <f>SUMIFS('boc xe'!AE$2:AE$27,'boc xe'!$B$2:$B$27,'chia CN boc xe'!$C27)</f>
        <v>0</v>
      </c>
      <c r="O27" s="419">
        <f>SUMIFS('boc xe'!AF$2:AF$27,'boc xe'!$B$2:$B$27,'chia CN boc xe'!$C27)</f>
        <v>0</v>
      </c>
      <c r="P27" s="419">
        <f>SUMIFS('boc xe'!AG$2:AG$27,'boc xe'!$B$2:$B$27,'chia CN boc xe'!$C27)</f>
        <v>0</v>
      </c>
      <c r="Q27" s="419">
        <f>SUMIFS('boc xe'!AH$2:AH$27,'boc xe'!$B$2:$B$27,'chia CN boc xe'!$C27)</f>
        <v>0</v>
      </c>
      <c r="R27" s="419">
        <f>SUMIFS('boc xe'!AI$2:AI$27,'boc xe'!$B$2:$B$27,'chia CN boc xe'!$C27)</f>
        <v>0</v>
      </c>
      <c r="S27" s="419">
        <f>SUMIFS('boc xe'!AJ$2:AJ$27,'boc xe'!$B$2:$B$27,'chia CN boc xe'!$C27)</f>
        <v>0</v>
      </c>
      <c r="U27" s="254" t="str">
        <f>'BANG LUONG 1'!C27</f>
        <v xml:space="preserve">Trần Văn Thứ </v>
      </c>
      <c r="V27" s="81">
        <f t="shared" si="1"/>
        <v>0</v>
      </c>
      <c r="W27" s="81">
        <f t="shared" si="2"/>
        <v>0</v>
      </c>
      <c r="X27" s="81">
        <f t="shared" si="3"/>
        <v>0</v>
      </c>
      <c r="Y27" s="81">
        <f t="shared" si="4"/>
        <v>0</v>
      </c>
      <c r="Z27" s="81">
        <f t="shared" si="5"/>
        <v>0</v>
      </c>
      <c r="AA27" s="81">
        <f t="shared" si="6"/>
        <v>0</v>
      </c>
      <c r="AB27" s="81">
        <f t="shared" si="7"/>
        <v>0</v>
      </c>
      <c r="AC27" s="81">
        <f t="shared" si="8"/>
        <v>0</v>
      </c>
      <c r="AD27" s="81">
        <f t="shared" si="9"/>
        <v>0</v>
      </c>
      <c r="AE27" s="81">
        <f t="shared" si="10"/>
        <v>0</v>
      </c>
      <c r="AF27" s="81">
        <f t="shared" si="11"/>
        <v>0</v>
      </c>
      <c r="AG27" s="81">
        <f t="shared" si="12"/>
        <v>0</v>
      </c>
      <c r="AH27" s="81">
        <f t="shared" si="13"/>
        <v>0</v>
      </c>
      <c r="AI27" s="81">
        <f t="shared" si="14"/>
        <v>0</v>
      </c>
      <c r="AJ27" s="81">
        <f t="shared" si="15"/>
        <v>0</v>
      </c>
      <c r="AK27" s="81">
        <f t="shared" si="16"/>
        <v>0</v>
      </c>
    </row>
    <row r="28" spans="1:37" x14ac:dyDescent="0.25">
      <c r="A28" s="421">
        <v>26</v>
      </c>
      <c r="B28" s="542" t="s">
        <v>742</v>
      </c>
      <c r="C28" s="421">
        <v>5</v>
      </c>
      <c r="D28" s="419">
        <f>SUMIFS('boc xe'!U$2:U$27,'boc xe'!$B$2:$B$27,'chia CN boc xe'!$C28)</f>
        <v>0</v>
      </c>
      <c r="E28" s="419">
        <f>SUMIFS('boc xe'!V$2:V$27,'boc xe'!$B$2:$B$27,'chia CN boc xe'!$C28)</f>
        <v>40</v>
      </c>
      <c r="F28" s="419">
        <f>SUMIFS('boc xe'!W$2:W$27,'boc xe'!$B$2:$B$27,'chia CN boc xe'!$C28)</f>
        <v>3.6666666666666665</v>
      </c>
      <c r="G28" s="419">
        <f>SUMIFS('boc xe'!X$2:X$27,'boc xe'!$B$2:$B$27,'chia CN boc xe'!$C28)</f>
        <v>28.333333333333332</v>
      </c>
      <c r="H28" s="419">
        <f>SUMIFS('boc xe'!Y$2:Y$27,'boc xe'!$B$2:$B$27,'chia CN boc xe'!$C28)</f>
        <v>0</v>
      </c>
      <c r="I28" s="419">
        <f>SUMIFS('boc xe'!Z$2:Z$27,'boc xe'!$B$2:$B$27,'chia CN boc xe'!$C28)</f>
        <v>11.666666666666666</v>
      </c>
      <c r="J28" s="419">
        <f>SUMIFS('boc xe'!AA$2:AA$27,'boc xe'!$B$2:$B$27,'chia CN boc xe'!$C28)</f>
        <v>0</v>
      </c>
      <c r="K28" s="419">
        <f>SUMIFS('boc xe'!AB$2:AB$27,'boc xe'!$B$2:$B$27,'chia CN boc xe'!$C28)</f>
        <v>0</v>
      </c>
      <c r="L28" s="419">
        <f>SUMIFS('boc xe'!AC$2:AC$27,'boc xe'!$B$2:$B$27,'chia CN boc xe'!$C28)</f>
        <v>0</v>
      </c>
      <c r="M28" s="419">
        <f>SUMIFS('boc xe'!AD$2:AD$27,'boc xe'!$B$2:$B$27,'chia CN boc xe'!$C28)</f>
        <v>0</v>
      </c>
      <c r="N28" s="419">
        <f>SUMIFS('boc xe'!AE$2:AE$27,'boc xe'!$B$2:$B$27,'chia CN boc xe'!$C28)</f>
        <v>0</v>
      </c>
      <c r="O28" s="419">
        <f>SUMIFS('boc xe'!AF$2:AF$27,'boc xe'!$B$2:$B$27,'chia CN boc xe'!$C28)</f>
        <v>0</v>
      </c>
      <c r="P28" s="419">
        <f>SUMIFS('boc xe'!AG$2:AG$27,'boc xe'!$B$2:$B$27,'chia CN boc xe'!$C28)</f>
        <v>0</v>
      </c>
      <c r="Q28" s="419">
        <f>SUMIFS('boc xe'!AH$2:AH$27,'boc xe'!$B$2:$B$27,'chia CN boc xe'!$C28)</f>
        <v>0</v>
      </c>
      <c r="R28" s="419">
        <f>SUMIFS('boc xe'!AI$2:AI$27,'boc xe'!$B$2:$B$27,'chia CN boc xe'!$C28)</f>
        <v>0</v>
      </c>
      <c r="S28" s="419">
        <f>SUMIFS('boc xe'!AJ$2:AJ$27,'boc xe'!$B$2:$B$27,'chia CN boc xe'!$C28)</f>
        <v>0</v>
      </c>
      <c r="U28" s="254" t="str">
        <f>'BANG LUONG 1'!C29</f>
        <v>Quách Văn Chánh</v>
      </c>
      <c r="V28" s="81">
        <f t="shared" si="1"/>
        <v>0</v>
      </c>
      <c r="W28" s="81">
        <f t="shared" si="2"/>
        <v>0</v>
      </c>
      <c r="X28" s="81">
        <f t="shared" si="3"/>
        <v>0</v>
      </c>
      <c r="Y28" s="81">
        <f t="shared" si="4"/>
        <v>0</v>
      </c>
      <c r="Z28" s="81">
        <f t="shared" si="5"/>
        <v>0</v>
      </c>
      <c r="AA28" s="81">
        <f t="shared" si="6"/>
        <v>0</v>
      </c>
      <c r="AB28" s="81">
        <f t="shared" si="7"/>
        <v>0</v>
      </c>
      <c r="AC28" s="81">
        <f t="shared" si="8"/>
        <v>0</v>
      </c>
      <c r="AD28" s="81">
        <f t="shared" si="9"/>
        <v>0</v>
      </c>
      <c r="AE28" s="81">
        <f t="shared" si="10"/>
        <v>0</v>
      </c>
      <c r="AF28" s="81">
        <f t="shared" si="11"/>
        <v>0</v>
      </c>
      <c r="AG28" s="81">
        <f t="shared" si="12"/>
        <v>0</v>
      </c>
      <c r="AH28" s="81">
        <f t="shared" si="13"/>
        <v>0</v>
      </c>
      <c r="AI28" s="81">
        <f t="shared" si="14"/>
        <v>0</v>
      </c>
      <c r="AJ28" s="81">
        <f t="shared" si="15"/>
        <v>0</v>
      </c>
      <c r="AK28" s="81">
        <f t="shared" si="16"/>
        <v>0</v>
      </c>
    </row>
    <row r="29" spans="1:37" x14ac:dyDescent="0.25">
      <c r="A29" s="421">
        <v>27</v>
      </c>
      <c r="B29" s="542" t="s">
        <v>746</v>
      </c>
      <c r="C29" s="421">
        <v>5</v>
      </c>
      <c r="D29" s="419">
        <f>SUMIFS('boc xe'!U$2:U$27,'boc xe'!$B$2:$B$27,'chia CN boc xe'!$C29)</f>
        <v>0</v>
      </c>
      <c r="E29" s="419">
        <f>SUMIFS('boc xe'!V$2:V$27,'boc xe'!$B$2:$B$27,'chia CN boc xe'!$C29)</f>
        <v>40</v>
      </c>
      <c r="F29" s="419">
        <f>SUMIFS('boc xe'!W$2:W$27,'boc xe'!$B$2:$B$27,'chia CN boc xe'!$C29)</f>
        <v>3.6666666666666665</v>
      </c>
      <c r="G29" s="419">
        <f>SUMIFS('boc xe'!X$2:X$27,'boc xe'!$B$2:$B$27,'chia CN boc xe'!$C29)</f>
        <v>28.333333333333332</v>
      </c>
      <c r="H29" s="419">
        <f>SUMIFS('boc xe'!Y$2:Y$27,'boc xe'!$B$2:$B$27,'chia CN boc xe'!$C29)</f>
        <v>0</v>
      </c>
      <c r="I29" s="419">
        <f>SUMIFS('boc xe'!Z$2:Z$27,'boc xe'!$B$2:$B$27,'chia CN boc xe'!$C29)</f>
        <v>11.666666666666666</v>
      </c>
      <c r="J29" s="419">
        <f>SUMIFS('boc xe'!AA$2:AA$27,'boc xe'!$B$2:$B$27,'chia CN boc xe'!$C29)</f>
        <v>0</v>
      </c>
      <c r="K29" s="419">
        <f>SUMIFS('boc xe'!AB$2:AB$27,'boc xe'!$B$2:$B$27,'chia CN boc xe'!$C29)</f>
        <v>0</v>
      </c>
      <c r="L29" s="419">
        <f>SUMIFS('boc xe'!AC$2:AC$27,'boc xe'!$B$2:$B$27,'chia CN boc xe'!$C29)</f>
        <v>0</v>
      </c>
      <c r="M29" s="419">
        <f>SUMIFS('boc xe'!AD$2:AD$27,'boc xe'!$B$2:$B$27,'chia CN boc xe'!$C29)</f>
        <v>0</v>
      </c>
      <c r="N29" s="419">
        <f>SUMIFS('boc xe'!AE$2:AE$27,'boc xe'!$B$2:$B$27,'chia CN boc xe'!$C29)</f>
        <v>0</v>
      </c>
      <c r="O29" s="419">
        <f>SUMIFS('boc xe'!AF$2:AF$27,'boc xe'!$B$2:$B$27,'chia CN boc xe'!$C29)</f>
        <v>0</v>
      </c>
      <c r="P29" s="419">
        <f>SUMIFS('boc xe'!AG$2:AG$27,'boc xe'!$B$2:$B$27,'chia CN boc xe'!$C29)</f>
        <v>0</v>
      </c>
      <c r="Q29" s="419">
        <f>SUMIFS('boc xe'!AH$2:AH$27,'boc xe'!$B$2:$B$27,'chia CN boc xe'!$C29)</f>
        <v>0</v>
      </c>
      <c r="R29" s="419">
        <f>SUMIFS('boc xe'!AI$2:AI$27,'boc xe'!$B$2:$B$27,'chia CN boc xe'!$C29)</f>
        <v>0</v>
      </c>
      <c r="S29" s="419">
        <f>SUMIFS('boc xe'!AJ$2:AJ$27,'boc xe'!$B$2:$B$27,'chia CN boc xe'!$C29)</f>
        <v>0</v>
      </c>
      <c r="U29" s="254" t="str">
        <f>'BANG LUONG 1'!C42</f>
        <v>Nguyễn Tấn Kiệt</v>
      </c>
      <c r="V29" s="81">
        <f t="shared" si="1"/>
        <v>0</v>
      </c>
      <c r="W29" s="81">
        <f t="shared" si="2"/>
        <v>0</v>
      </c>
      <c r="X29" s="81">
        <f t="shared" si="3"/>
        <v>0</v>
      </c>
      <c r="Y29" s="81">
        <f t="shared" si="4"/>
        <v>0</v>
      </c>
      <c r="Z29" s="81">
        <f t="shared" si="5"/>
        <v>0</v>
      </c>
      <c r="AA29" s="81">
        <f t="shared" si="6"/>
        <v>0</v>
      </c>
      <c r="AB29" s="81">
        <f t="shared" si="7"/>
        <v>0</v>
      </c>
      <c r="AC29" s="81">
        <f t="shared" si="8"/>
        <v>0</v>
      </c>
      <c r="AD29" s="81">
        <f t="shared" si="9"/>
        <v>0</v>
      </c>
      <c r="AE29" s="81">
        <f t="shared" si="10"/>
        <v>0</v>
      </c>
      <c r="AF29" s="81">
        <f t="shared" si="11"/>
        <v>0</v>
      </c>
      <c r="AG29" s="81">
        <f t="shared" si="12"/>
        <v>0</v>
      </c>
      <c r="AH29" s="81">
        <f t="shared" si="13"/>
        <v>0</v>
      </c>
      <c r="AI29" s="81">
        <f t="shared" si="14"/>
        <v>0</v>
      </c>
      <c r="AJ29" s="81">
        <f t="shared" si="15"/>
        <v>0</v>
      </c>
      <c r="AK29" s="81">
        <f t="shared" si="16"/>
        <v>0</v>
      </c>
    </row>
    <row r="30" spans="1:37" x14ac:dyDescent="0.25">
      <c r="A30" s="421">
        <v>28</v>
      </c>
      <c r="B30" s="542" t="s">
        <v>751</v>
      </c>
      <c r="C30" s="421">
        <v>5</v>
      </c>
      <c r="D30" s="419">
        <f>SUMIFS('boc xe'!U$2:U$27,'boc xe'!$B$2:$B$27,'chia CN boc xe'!$C30)</f>
        <v>0</v>
      </c>
      <c r="E30" s="419">
        <f>SUMIFS('boc xe'!V$2:V$27,'boc xe'!$B$2:$B$27,'chia CN boc xe'!$C30)</f>
        <v>40</v>
      </c>
      <c r="F30" s="419">
        <f>SUMIFS('boc xe'!W$2:W$27,'boc xe'!$B$2:$B$27,'chia CN boc xe'!$C30)</f>
        <v>3.6666666666666665</v>
      </c>
      <c r="G30" s="419">
        <f>SUMIFS('boc xe'!X$2:X$27,'boc xe'!$B$2:$B$27,'chia CN boc xe'!$C30)</f>
        <v>28.333333333333332</v>
      </c>
      <c r="H30" s="419">
        <f>SUMIFS('boc xe'!Y$2:Y$27,'boc xe'!$B$2:$B$27,'chia CN boc xe'!$C30)</f>
        <v>0</v>
      </c>
      <c r="I30" s="419">
        <f>SUMIFS('boc xe'!Z$2:Z$27,'boc xe'!$B$2:$B$27,'chia CN boc xe'!$C30)</f>
        <v>11.666666666666666</v>
      </c>
      <c r="J30" s="419">
        <f>SUMIFS('boc xe'!AA$2:AA$27,'boc xe'!$B$2:$B$27,'chia CN boc xe'!$C30)</f>
        <v>0</v>
      </c>
      <c r="K30" s="419">
        <f>SUMIFS('boc xe'!AB$2:AB$27,'boc xe'!$B$2:$B$27,'chia CN boc xe'!$C30)</f>
        <v>0</v>
      </c>
      <c r="L30" s="419">
        <f>SUMIFS('boc xe'!AC$2:AC$27,'boc xe'!$B$2:$B$27,'chia CN boc xe'!$C30)</f>
        <v>0</v>
      </c>
      <c r="M30" s="419">
        <f>SUMIFS('boc xe'!AD$2:AD$27,'boc xe'!$B$2:$B$27,'chia CN boc xe'!$C30)</f>
        <v>0</v>
      </c>
      <c r="N30" s="419">
        <f>SUMIFS('boc xe'!AE$2:AE$27,'boc xe'!$B$2:$B$27,'chia CN boc xe'!$C30)</f>
        <v>0</v>
      </c>
      <c r="O30" s="419">
        <f>SUMIFS('boc xe'!AF$2:AF$27,'boc xe'!$B$2:$B$27,'chia CN boc xe'!$C30)</f>
        <v>0</v>
      </c>
      <c r="P30" s="419">
        <f>SUMIFS('boc xe'!AG$2:AG$27,'boc xe'!$B$2:$B$27,'chia CN boc xe'!$C30)</f>
        <v>0</v>
      </c>
      <c r="Q30" s="419">
        <f>SUMIFS('boc xe'!AH$2:AH$27,'boc xe'!$B$2:$B$27,'chia CN boc xe'!$C30)</f>
        <v>0</v>
      </c>
      <c r="R30" s="419">
        <f>SUMIFS('boc xe'!AI$2:AI$27,'boc xe'!$B$2:$B$27,'chia CN boc xe'!$C30)</f>
        <v>0</v>
      </c>
      <c r="S30" s="419">
        <f>SUMIFS('boc xe'!AJ$2:AJ$27,'boc xe'!$B$2:$B$27,'chia CN boc xe'!$C30)</f>
        <v>0</v>
      </c>
      <c r="U30" s="254" t="e">
        <f>'BANG LUONG 1'!#REF!</f>
        <v>#REF!</v>
      </c>
      <c r="V30" s="81">
        <f t="shared" si="1"/>
        <v>0</v>
      </c>
      <c r="W30" s="81">
        <f t="shared" si="2"/>
        <v>0</v>
      </c>
      <c r="X30" s="81">
        <f t="shared" si="3"/>
        <v>0</v>
      </c>
      <c r="Y30" s="81">
        <f t="shared" si="4"/>
        <v>0</v>
      </c>
      <c r="Z30" s="81">
        <f t="shared" si="5"/>
        <v>0</v>
      </c>
      <c r="AA30" s="81">
        <f t="shared" si="6"/>
        <v>0</v>
      </c>
      <c r="AB30" s="81">
        <f t="shared" si="7"/>
        <v>0</v>
      </c>
      <c r="AC30" s="81">
        <f t="shared" si="8"/>
        <v>0</v>
      </c>
      <c r="AD30" s="81">
        <f t="shared" si="9"/>
        <v>0</v>
      </c>
      <c r="AE30" s="81">
        <f t="shared" si="10"/>
        <v>0</v>
      </c>
      <c r="AF30" s="81">
        <f t="shared" si="11"/>
        <v>0</v>
      </c>
      <c r="AG30" s="81">
        <f t="shared" si="12"/>
        <v>0</v>
      </c>
      <c r="AH30" s="81">
        <f t="shared" si="13"/>
        <v>0</v>
      </c>
      <c r="AI30" s="81">
        <f t="shared" si="14"/>
        <v>0</v>
      </c>
      <c r="AJ30" s="81">
        <f t="shared" si="15"/>
        <v>0</v>
      </c>
      <c r="AK30" s="81">
        <f t="shared" si="16"/>
        <v>0</v>
      </c>
    </row>
    <row r="31" spans="1:37" x14ac:dyDescent="0.25">
      <c r="A31" s="421">
        <v>29</v>
      </c>
      <c r="B31" s="542" t="s">
        <v>578</v>
      </c>
      <c r="C31" s="421">
        <v>6</v>
      </c>
      <c r="D31" s="419">
        <f>SUMIFS('boc xe'!U$2:U$27,'boc xe'!$B$2:$B$27,'chia CN boc xe'!$C31)</f>
        <v>0</v>
      </c>
      <c r="E31" s="419">
        <f>SUMIFS('boc xe'!V$2:V$27,'boc xe'!$B$2:$B$27,'chia CN boc xe'!$C31)</f>
        <v>0</v>
      </c>
      <c r="F31" s="419">
        <f>SUMIFS('boc xe'!W$2:W$27,'boc xe'!$B$2:$B$27,'chia CN boc xe'!$C31)</f>
        <v>0</v>
      </c>
      <c r="G31" s="419">
        <f>SUMIFS('boc xe'!X$2:X$27,'boc xe'!$B$2:$B$27,'chia CN boc xe'!$C31)</f>
        <v>8.2857142857142865</v>
      </c>
      <c r="H31" s="419">
        <f>SUMIFS('boc xe'!Y$2:Y$27,'boc xe'!$B$2:$B$27,'chia CN boc xe'!$C31)</f>
        <v>0</v>
      </c>
      <c r="I31" s="419">
        <f>SUMIFS('boc xe'!Z$2:Z$27,'boc xe'!$B$2:$B$27,'chia CN boc xe'!$C31)</f>
        <v>17.142857142857142</v>
      </c>
      <c r="J31" s="419">
        <f>SUMIFS('boc xe'!AA$2:AA$27,'boc xe'!$B$2:$B$27,'chia CN boc xe'!$C31)</f>
        <v>0</v>
      </c>
      <c r="K31" s="419">
        <f>SUMIFS('boc xe'!AB$2:AB$27,'boc xe'!$B$2:$B$27,'chia CN boc xe'!$C31)</f>
        <v>0</v>
      </c>
      <c r="L31" s="419">
        <f>SUMIFS('boc xe'!AC$2:AC$27,'boc xe'!$B$2:$B$27,'chia CN boc xe'!$C31)</f>
        <v>0</v>
      </c>
      <c r="M31" s="419">
        <f>SUMIFS('boc xe'!AD$2:AD$27,'boc xe'!$B$2:$B$27,'chia CN boc xe'!$C31)</f>
        <v>0</v>
      </c>
      <c r="N31" s="419">
        <f>SUMIFS('boc xe'!AE$2:AE$27,'boc xe'!$B$2:$B$27,'chia CN boc xe'!$C31)</f>
        <v>0</v>
      </c>
      <c r="O31" s="419">
        <f>SUMIFS('boc xe'!AF$2:AF$27,'boc xe'!$B$2:$B$27,'chia CN boc xe'!$C31)</f>
        <v>0</v>
      </c>
      <c r="P31" s="419">
        <f>SUMIFS('boc xe'!AG$2:AG$27,'boc xe'!$B$2:$B$27,'chia CN boc xe'!$C31)</f>
        <v>0</v>
      </c>
      <c r="Q31" s="419">
        <f>SUMIFS('boc xe'!AH$2:AH$27,'boc xe'!$B$2:$B$27,'chia CN boc xe'!$C31)</f>
        <v>0</v>
      </c>
      <c r="R31" s="419">
        <f>SUMIFS('boc xe'!AI$2:AI$27,'boc xe'!$B$2:$B$27,'chia CN boc xe'!$C31)</f>
        <v>0</v>
      </c>
      <c r="S31" s="419">
        <f>SUMIFS('boc xe'!AJ$2:AJ$27,'boc xe'!$B$2:$B$27,'chia CN boc xe'!$C31)</f>
        <v>0</v>
      </c>
      <c r="U31" s="254" t="e">
        <f>'BANG LUONG 1'!#REF!</f>
        <v>#REF!</v>
      </c>
      <c r="V31" s="81">
        <f t="shared" si="1"/>
        <v>0</v>
      </c>
      <c r="W31" s="81">
        <f t="shared" si="2"/>
        <v>0</v>
      </c>
      <c r="X31" s="81">
        <f t="shared" si="3"/>
        <v>0</v>
      </c>
      <c r="Y31" s="81">
        <f t="shared" si="4"/>
        <v>0</v>
      </c>
      <c r="Z31" s="81">
        <f t="shared" si="5"/>
        <v>0</v>
      </c>
      <c r="AA31" s="81">
        <f t="shared" si="6"/>
        <v>0</v>
      </c>
      <c r="AB31" s="81">
        <f t="shared" si="7"/>
        <v>0</v>
      </c>
      <c r="AC31" s="81">
        <f t="shared" si="8"/>
        <v>0</v>
      </c>
      <c r="AD31" s="81">
        <f t="shared" si="9"/>
        <v>0</v>
      </c>
      <c r="AE31" s="81">
        <f t="shared" si="10"/>
        <v>0</v>
      </c>
      <c r="AF31" s="81">
        <f t="shared" si="11"/>
        <v>0</v>
      </c>
      <c r="AG31" s="81">
        <f t="shared" si="12"/>
        <v>0</v>
      </c>
      <c r="AH31" s="81">
        <f t="shared" si="13"/>
        <v>0</v>
      </c>
      <c r="AI31" s="81">
        <f t="shared" si="14"/>
        <v>0</v>
      </c>
      <c r="AJ31" s="81">
        <f t="shared" si="15"/>
        <v>0</v>
      </c>
      <c r="AK31" s="81">
        <f t="shared" si="16"/>
        <v>0</v>
      </c>
    </row>
    <row r="32" spans="1:37" x14ac:dyDescent="0.25">
      <c r="A32" s="421">
        <v>30</v>
      </c>
      <c r="B32" s="542" t="s">
        <v>599</v>
      </c>
      <c r="C32" s="421">
        <v>6</v>
      </c>
      <c r="D32" s="419">
        <f>SUMIFS('boc xe'!U$2:U$27,'boc xe'!$B$2:$B$27,'chia CN boc xe'!$C32)</f>
        <v>0</v>
      </c>
      <c r="E32" s="419">
        <f>SUMIFS('boc xe'!V$2:V$27,'boc xe'!$B$2:$B$27,'chia CN boc xe'!$C32)</f>
        <v>0</v>
      </c>
      <c r="F32" s="419">
        <f>SUMIFS('boc xe'!W$2:W$27,'boc xe'!$B$2:$B$27,'chia CN boc xe'!$C32)</f>
        <v>0</v>
      </c>
      <c r="G32" s="419">
        <f>SUMIFS('boc xe'!X$2:X$27,'boc xe'!$B$2:$B$27,'chia CN boc xe'!$C32)</f>
        <v>8.2857142857142865</v>
      </c>
      <c r="H32" s="419">
        <f>SUMIFS('boc xe'!Y$2:Y$27,'boc xe'!$B$2:$B$27,'chia CN boc xe'!$C32)</f>
        <v>0</v>
      </c>
      <c r="I32" s="419">
        <f>SUMIFS('boc xe'!Z$2:Z$27,'boc xe'!$B$2:$B$27,'chia CN boc xe'!$C32)</f>
        <v>17.142857142857142</v>
      </c>
      <c r="J32" s="419">
        <f>SUMIFS('boc xe'!AA$2:AA$27,'boc xe'!$B$2:$B$27,'chia CN boc xe'!$C32)</f>
        <v>0</v>
      </c>
      <c r="K32" s="419">
        <f>SUMIFS('boc xe'!AB$2:AB$27,'boc xe'!$B$2:$B$27,'chia CN boc xe'!$C32)</f>
        <v>0</v>
      </c>
      <c r="L32" s="419">
        <f>SUMIFS('boc xe'!AC$2:AC$27,'boc xe'!$B$2:$B$27,'chia CN boc xe'!$C32)</f>
        <v>0</v>
      </c>
      <c r="M32" s="419">
        <f>SUMIFS('boc xe'!AD$2:AD$27,'boc xe'!$B$2:$B$27,'chia CN boc xe'!$C32)</f>
        <v>0</v>
      </c>
      <c r="N32" s="419">
        <f>SUMIFS('boc xe'!AE$2:AE$27,'boc xe'!$B$2:$B$27,'chia CN boc xe'!$C32)</f>
        <v>0</v>
      </c>
      <c r="O32" s="419">
        <f>SUMIFS('boc xe'!AF$2:AF$27,'boc xe'!$B$2:$B$27,'chia CN boc xe'!$C32)</f>
        <v>0</v>
      </c>
      <c r="P32" s="419">
        <f>SUMIFS('boc xe'!AG$2:AG$27,'boc xe'!$B$2:$B$27,'chia CN boc xe'!$C32)</f>
        <v>0</v>
      </c>
      <c r="Q32" s="419">
        <f>SUMIFS('boc xe'!AH$2:AH$27,'boc xe'!$B$2:$B$27,'chia CN boc xe'!$C32)</f>
        <v>0</v>
      </c>
      <c r="R32" s="419">
        <f>SUMIFS('boc xe'!AI$2:AI$27,'boc xe'!$B$2:$B$27,'chia CN boc xe'!$C32)</f>
        <v>0</v>
      </c>
      <c r="S32" s="419">
        <f>SUMIFS('boc xe'!AJ$2:AJ$27,'boc xe'!$B$2:$B$27,'chia CN boc xe'!$C32)</f>
        <v>0</v>
      </c>
      <c r="U32" s="542" t="e">
        <f>'BANG LUONG 1'!#REF!</f>
        <v>#REF!</v>
      </c>
      <c r="V32" s="81">
        <f t="shared" si="1"/>
        <v>0</v>
      </c>
      <c r="W32" s="81">
        <f t="shared" si="2"/>
        <v>0</v>
      </c>
      <c r="X32" s="81">
        <f t="shared" si="3"/>
        <v>0</v>
      </c>
      <c r="Y32" s="81">
        <f t="shared" si="4"/>
        <v>0</v>
      </c>
      <c r="Z32" s="81">
        <f t="shared" si="5"/>
        <v>0</v>
      </c>
      <c r="AA32" s="81">
        <f t="shared" si="6"/>
        <v>0</v>
      </c>
      <c r="AB32" s="81">
        <f t="shared" si="7"/>
        <v>0</v>
      </c>
      <c r="AC32" s="81">
        <f t="shared" si="8"/>
        <v>0</v>
      </c>
      <c r="AD32" s="81">
        <f t="shared" si="9"/>
        <v>0</v>
      </c>
      <c r="AE32" s="81">
        <f t="shared" si="10"/>
        <v>0</v>
      </c>
      <c r="AF32" s="81">
        <f t="shared" si="11"/>
        <v>0</v>
      </c>
      <c r="AG32" s="81">
        <f t="shared" si="12"/>
        <v>0</v>
      </c>
      <c r="AH32" s="81">
        <f t="shared" si="13"/>
        <v>0</v>
      </c>
      <c r="AI32" s="81">
        <f t="shared" si="14"/>
        <v>0</v>
      </c>
      <c r="AJ32" s="81">
        <f t="shared" si="15"/>
        <v>0</v>
      </c>
      <c r="AK32" s="81">
        <f t="shared" si="16"/>
        <v>0</v>
      </c>
    </row>
    <row r="33" spans="1:37" x14ac:dyDescent="0.25">
      <c r="A33" s="421">
        <v>31</v>
      </c>
      <c r="B33" s="542" t="s">
        <v>600</v>
      </c>
      <c r="C33" s="421">
        <v>6</v>
      </c>
      <c r="D33" s="419">
        <f>SUMIFS('boc xe'!U$2:U$27,'boc xe'!$B$2:$B$27,'chia CN boc xe'!$C33)</f>
        <v>0</v>
      </c>
      <c r="E33" s="419">
        <f>SUMIFS('boc xe'!V$2:V$27,'boc xe'!$B$2:$B$27,'chia CN boc xe'!$C33)</f>
        <v>0</v>
      </c>
      <c r="F33" s="419">
        <f>SUMIFS('boc xe'!W$2:W$27,'boc xe'!$B$2:$B$27,'chia CN boc xe'!$C33)</f>
        <v>0</v>
      </c>
      <c r="G33" s="419">
        <f>SUMIFS('boc xe'!X$2:X$27,'boc xe'!$B$2:$B$27,'chia CN boc xe'!$C33)</f>
        <v>8.2857142857142865</v>
      </c>
      <c r="H33" s="419">
        <f>SUMIFS('boc xe'!Y$2:Y$27,'boc xe'!$B$2:$B$27,'chia CN boc xe'!$C33)</f>
        <v>0</v>
      </c>
      <c r="I33" s="419">
        <f>SUMIFS('boc xe'!Z$2:Z$27,'boc xe'!$B$2:$B$27,'chia CN boc xe'!$C33)</f>
        <v>17.142857142857142</v>
      </c>
      <c r="J33" s="419">
        <f>SUMIFS('boc xe'!AA$2:AA$27,'boc xe'!$B$2:$B$27,'chia CN boc xe'!$C33)</f>
        <v>0</v>
      </c>
      <c r="K33" s="419">
        <f>SUMIFS('boc xe'!AB$2:AB$27,'boc xe'!$B$2:$B$27,'chia CN boc xe'!$C33)</f>
        <v>0</v>
      </c>
      <c r="L33" s="419">
        <f>SUMIFS('boc xe'!AC$2:AC$27,'boc xe'!$B$2:$B$27,'chia CN boc xe'!$C33)</f>
        <v>0</v>
      </c>
      <c r="M33" s="419">
        <f>SUMIFS('boc xe'!AD$2:AD$27,'boc xe'!$B$2:$B$27,'chia CN boc xe'!$C33)</f>
        <v>0</v>
      </c>
      <c r="N33" s="419">
        <f>SUMIFS('boc xe'!AE$2:AE$27,'boc xe'!$B$2:$B$27,'chia CN boc xe'!$C33)</f>
        <v>0</v>
      </c>
      <c r="O33" s="419">
        <f>SUMIFS('boc xe'!AF$2:AF$27,'boc xe'!$B$2:$B$27,'chia CN boc xe'!$C33)</f>
        <v>0</v>
      </c>
      <c r="P33" s="419">
        <f>SUMIFS('boc xe'!AG$2:AG$27,'boc xe'!$B$2:$B$27,'chia CN boc xe'!$C33)</f>
        <v>0</v>
      </c>
      <c r="Q33" s="419">
        <f>SUMIFS('boc xe'!AH$2:AH$27,'boc xe'!$B$2:$B$27,'chia CN boc xe'!$C33)</f>
        <v>0</v>
      </c>
      <c r="R33" s="419">
        <f>SUMIFS('boc xe'!AI$2:AI$27,'boc xe'!$B$2:$B$27,'chia CN boc xe'!$C33)</f>
        <v>0</v>
      </c>
      <c r="S33" s="419">
        <f>SUMIFS('boc xe'!AJ$2:AJ$27,'boc xe'!$B$2:$B$27,'chia CN boc xe'!$C33)</f>
        <v>0</v>
      </c>
      <c r="U33" s="543" t="e">
        <f>'BANG LUONG 1'!#REF!</f>
        <v>#REF!</v>
      </c>
      <c r="V33" s="81">
        <f t="shared" si="1"/>
        <v>0</v>
      </c>
      <c r="W33" s="81">
        <f t="shared" si="2"/>
        <v>0</v>
      </c>
      <c r="X33" s="81">
        <f t="shared" si="3"/>
        <v>0</v>
      </c>
      <c r="Y33" s="81">
        <f t="shared" si="4"/>
        <v>0</v>
      </c>
      <c r="Z33" s="81">
        <f t="shared" si="5"/>
        <v>0</v>
      </c>
      <c r="AA33" s="81">
        <f t="shared" si="6"/>
        <v>0</v>
      </c>
      <c r="AB33" s="81">
        <f t="shared" si="7"/>
        <v>0</v>
      </c>
      <c r="AC33" s="81">
        <f t="shared" si="8"/>
        <v>0</v>
      </c>
      <c r="AD33" s="81">
        <f t="shared" si="9"/>
        <v>0</v>
      </c>
      <c r="AE33" s="81">
        <f t="shared" si="10"/>
        <v>0</v>
      </c>
      <c r="AF33" s="81">
        <f t="shared" si="11"/>
        <v>0</v>
      </c>
      <c r="AG33" s="81">
        <f t="shared" si="12"/>
        <v>0</v>
      </c>
      <c r="AH33" s="81">
        <f t="shared" si="13"/>
        <v>0</v>
      </c>
      <c r="AI33" s="81">
        <f t="shared" si="14"/>
        <v>0</v>
      </c>
      <c r="AJ33" s="81">
        <f t="shared" si="15"/>
        <v>0</v>
      </c>
      <c r="AK33" s="81">
        <f t="shared" si="16"/>
        <v>0</v>
      </c>
    </row>
    <row r="34" spans="1:37" x14ac:dyDescent="0.25">
      <c r="A34" s="421">
        <v>32</v>
      </c>
      <c r="B34" s="542" t="s">
        <v>604</v>
      </c>
      <c r="C34" s="421">
        <v>6</v>
      </c>
      <c r="D34" s="419">
        <f>SUMIFS('boc xe'!U$2:U$27,'boc xe'!$B$2:$B$27,'chia CN boc xe'!$C34)</f>
        <v>0</v>
      </c>
      <c r="E34" s="419">
        <f>SUMIFS('boc xe'!V$2:V$27,'boc xe'!$B$2:$B$27,'chia CN boc xe'!$C34)</f>
        <v>0</v>
      </c>
      <c r="F34" s="419">
        <f>SUMIFS('boc xe'!W$2:W$27,'boc xe'!$B$2:$B$27,'chia CN boc xe'!$C34)</f>
        <v>0</v>
      </c>
      <c r="G34" s="419">
        <f>SUMIFS('boc xe'!X$2:X$27,'boc xe'!$B$2:$B$27,'chia CN boc xe'!$C34)</f>
        <v>8.2857142857142865</v>
      </c>
      <c r="H34" s="419">
        <f>SUMIFS('boc xe'!Y$2:Y$27,'boc xe'!$B$2:$B$27,'chia CN boc xe'!$C34)</f>
        <v>0</v>
      </c>
      <c r="I34" s="419">
        <f>SUMIFS('boc xe'!Z$2:Z$27,'boc xe'!$B$2:$B$27,'chia CN boc xe'!$C34)</f>
        <v>17.142857142857142</v>
      </c>
      <c r="J34" s="419">
        <f>SUMIFS('boc xe'!AA$2:AA$27,'boc xe'!$B$2:$B$27,'chia CN boc xe'!$C34)</f>
        <v>0</v>
      </c>
      <c r="K34" s="419">
        <f>SUMIFS('boc xe'!AB$2:AB$27,'boc xe'!$B$2:$B$27,'chia CN boc xe'!$C34)</f>
        <v>0</v>
      </c>
      <c r="L34" s="419">
        <f>SUMIFS('boc xe'!AC$2:AC$27,'boc xe'!$B$2:$B$27,'chia CN boc xe'!$C34)</f>
        <v>0</v>
      </c>
      <c r="M34" s="419">
        <f>SUMIFS('boc xe'!AD$2:AD$27,'boc xe'!$B$2:$B$27,'chia CN boc xe'!$C34)</f>
        <v>0</v>
      </c>
      <c r="N34" s="419">
        <f>SUMIFS('boc xe'!AE$2:AE$27,'boc xe'!$B$2:$B$27,'chia CN boc xe'!$C34)</f>
        <v>0</v>
      </c>
      <c r="O34" s="419">
        <f>SUMIFS('boc xe'!AF$2:AF$27,'boc xe'!$B$2:$B$27,'chia CN boc xe'!$C34)</f>
        <v>0</v>
      </c>
      <c r="P34" s="419">
        <f>SUMIFS('boc xe'!AG$2:AG$27,'boc xe'!$B$2:$B$27,'chia CN boc xe'!$C34)</f>
        <v>0</v>
      </c>
      <c r="Q34" s="419">
        <f>SUMIFS('boc xe'!AH$2:AH$27,'boc xe'!$B$2:$B$27,'chia CN boc xe'!$C34)</f>
        <v>0</v>
      </c>
      <c r="R34" s="419">
        <f>SUMIFS('boc xe'!AI$2:AI$27,'boc xe'!$B$2:$B$27,'chia CN boc xe'!$C34)</f>
        <v>0</v>
      </c>
      <c r="S34" s="419">
        <f>SUMIFS('boc xe'!AJ$2:AJ$27,'boc xe'!$B$2:$B$27,'chia CN boc xe'!$C34)</f>
        <v>0</v>
      </c>
      <c r="U34" s="254" t="str">
        <f>'BANG LUONG 1'!C51</f>
        <v>Kim Em</v>
      </c>
      <c r="V34" s="81">
        <f t="shared" si="1"/>
        <v>0</v>
      </c>
      <c r="W34" s="81">
        <f t="shared" si="2"/>
        <v>0</v>
      </c>
      <c r="X34" s="81">
        <f t="shared" si="3"/>
        <v>0</v>
      </c>
      <c r="Y34" s="81">
        <f t="shared" si="4"/>
        <v>0</v>
      </c>
      <c r="Z34" s="81">
        <f t="shared" si="5"/>
        <v>0</v>
      </c>
      <c r="AA34" s="81">
        <f t="shared" si="6"/>
        <v>0</v>
      </c>
      <c r="AB34" s="81">
        <f t="shared" si="7"/>
        <v>0</v>
      </c>
      <c r="AC34" s="81">
        <f t="shared" si="8"/>
        <v>0</v>
      </c>
      <c r="AD34" s="81">
        <f t="shared" si="9"/>
        <v>0</v>
      </c>
      <c r="AE34" s="81">
        <f t="shared" si="10"/>
        <v>0</v>
      </c>
      <c r="AF34" s="81">
        <f t="shared" si="11"/>
        <v>0</v>
      </c>
      <c r="AG34" s="81">
        <f t="shared" si="12"/>
        <v>0</v>
      </c>
      <c r="AH34" s="81">
        <f t="shared" si="13"/>
        <v>0</v>
      </c>
      <c r="AI34" s="81">
        <f t="shared" si="14"/>
        <v>0</v>
      </c>
      <c r="AJ34" s="81">
        <f t="shared" si="15"/>
        <v>0</v>
      </c>
      <c r="AK34" s="81">
        <f t="shared" si="16"/>
        <v>0</v>
      </c>
    </row>
    <row r="35" spans="1:37" x14ac:dyDescent="0.25">
      <c r="A35" s="421">
        <v>33</v>
      </c>
      <c r="B35" s="542" t="s">
        <v>748</v>
      </c>
      <c r="C35" s="421">
        <v>6</v>
      </c>
      <c r="D35" s="419">
        <f>SUMIFS('boc xe'!U$2:U$27,'boc xe'!$B$2:$B$27,'chia CN boc xe'!$C35)</f>
        <v>0</v>
      </c>
      <c r="E35" s="419">
        <f>SUMIFS('boc xe'!V$2:V$27,'boc xe'!$B$2:$B$27,'chia CN boc xe'!$C35)</f>
        <v>0</v>
      </c>
      <c r="F35" s="419">
        <f>SUMIFS('boc xe'!W$2:W$27,'boc xe'!$B$2:$B$27,'chia CN boc xe'!$C35)</f>
        <v>0</v>
      </c>
      <c r="G35" s="419">
        <f>SUMIFS('boc xe'!X$2:X$27,'boc xe'!$B$2:$B$27,'chia CN boc xe'!$C35)</f>
        <v>8.2857142857142865</v>
      </c>
      <c r="H35" s="419">
        <f>SUMIFS('boc xe'!Y$2:Y$27,'boc xe'!$B$2:$B$27,'chia CN boc xe'!$C35)</f>
        <v>0</v>
      </c>
      <c r="I35" s="419">
        <f>SUMIFS('boc xe'!Z$2:Z$27,'boc xe'!$B$2:$B$27,'chia CN boc xe'!$C35)</f>
        <v>17.142857142857142</v>
      </c>
      <c r="J35" s="419">
        <f>SUMIFS('boc xe'!AA$2:AA$27,'boc xe'!$B$2:$B$27,'chia CN boc xe'!$C35)</f>
        <v>0</v>
      </c>
      <c r="K35" s="419">
        <f>SUMIFS('boc xe'!AB$2:AB$27,'boc xe'!$B$2:$B$27,'chia CN boc xe'!$C35)</f>
        <v>0</v>
      </c>
      <c r="L35" s="419">
        <f>SUMIFS('boc xe'!AC$2:AC$27,'boc xe'!$B$2:$B$27,'chia CN boc xe'!$C35)</f>
        <v>0</v>
      </c>
      <c r="M35" s="419">
        <f>SUMIFS('boc xe'!AD$2:AD$27,'boc xe'!$B$2:$B$27,'chia CN boc xe'!$C35)</f>
        <v>0</v>
      </c>
      <c r="N35" s="419">
        <f>SUMIFS('boc xe'!AE$2:AE$27,'boc xe'!$B$2:$B$27,'chia CN boc xe'!$C35)</f>
        <v>0</v>
      </c>
      <c r="O35" s="419">
        <f>SUMIFS('boc xe'!AF$2:AF$27,'boc xe'!$B$2:$B$27,'chia CN boc xe'!$C35)</f>
        <v>0</v>
      </c>
      <c r="P35" s="419">
        <f>SUMIFS('boc xe'!AG$2:AG$27,'boc xe'!$B$2:$B$27,'chia CN boc xe'!$C35)</f>
        <v>0</v>
      </c>
      <c r="Q35" s="419">
        <f>SUMIFS('boc xe'!AH$2:AH$27,'boc xe'!$B$2:$B$27,'chia CN boc xe'!$C35)</f>
        <v>0</v>
      </c>
      <c r="R35" s="419">
        <f>SUMIFS('boc xe'!AI$2:AI$27,'boc xe'!$B$2:$B$27,'chia CN boc xe'!$C35)</f>
        <v>0</v>
      </c>
      <c r="S35" s="419">
        <f>SUMIFS('boc xe'!AJ$2:AJ$27,'boc xe'!$B$2:$B$27,'chia CN boc xe'!$C35)</f>
        <v>0</v>
      </c>
      <c r="U35" s="542" t="e">
        <f>'BANG LUONG 1'!#REF!</f>
        <v>#REF!</v>
      </c>
      <c r="V35" s="81">
        <f t="shared" ref="V35:V66" si="17">SUMIF($B$3:$B$131,$U35,D$3:D$131)</f>
        <v>0</v>
      </c>
      <c r="W35" s="81">
        <f t="shared" ref="W35:W66" si="18">SUMIF($B$3:$B$131,$U35,E$3:E$131)</f>
        <v>0</v>
      </c>
      <c r="X35" s="81">
        <f t="shared" ref="X35:X66" si="19">SUMIF($B$3:$B$131,$U35,F$3:F$131)</f>
        <v>0</v>
      </c>
      <c r="Y35" s="81">
        <f t="shared" ref="Y35:Y66" si="20">SUMIF($B$3:$B$131,$U35,G$3:G$131)</f>
        <v>0</v>
      </c>
      <c r="Z35" s="81">
        <f t="shared" ref="Z35:Z66" si="21">SUMIF($B$3:$B$131,$U35,H$3:H$131)</f>
        <v>0</v>
      </c>
      <c r="AA35" s="81">
        <f t="shared" ref="AA35:AA66" si="22">SUMIF($B$3:$B$131,$U35,I$3:I$131)</f>
        <v>0</v>
      </c>
      <c r="AB35" s="81">
        <f t="shared" ref="AB35:AB66" si="23">SUMIF($B$3:$B$131,$U35,J$3:J$131)</f>
        <v>0</v>
      </c>
      <c r="AC35" s="81">
        <f t="shared" ref="AC35:AC66" si="24">SUMIF($B$3:$B$131,$U35,K$3:K$131)</f>
        <v>0</v>
      </c>
      <c r="AD35" s="81">
        <f t="shared" ref="AD35:AD66" si="25">SUMIF($B$3:$B$131,$U35,L$3:L$131)</f>
        <v>0</v>
      </c>
      <c r="AE35" s="81">
        <f t="shared" ref="AE35:AE66" si="26">SUMIF($B$3:$B$131,$U35,M$3:M$131)</f>
        <v>0</v>
      </c>
      <c r="AF35" s="81">
        <f t="shared" ref="AF35:AF66" si="27">SUMIF($B$3:$B$131,$U35,N$3:N$131)</f>
        <v>0</v>
      </c>
      <c r="AG35" s="81">
        <f t="shared" ref="AG35:AG66" si="28">SUMIF($B$3:$B$131,$U35,O$3:O$131)</f>
        <v>0</v>
      </c>
      <c r="AH35" s="81">
        <f t="shared" ref="AH35:AH66" si="29">SUMIF($B$3:$B$131,$U35,P$3:P$131)</f>
        <v>0</v>
      </c>
      <c r="AI35" s="81">
        <f t="shared" ref="AI35:AI66" si="30">SUMIF($B$3:$B$131,$U35,Q$3:Q$131)</f>
        <v>0</v>
      </c>
      <c r="AJ35" s="81">
        <f t="shared" ref="AJ35:AJ66" si="31">SUMIF($B$3:$B$131,$U35,R$3:R$131)</f>
        <v>0</v>
      </c>
      <c r="AK35" s="81">
        <f t="shared" ref="AK35:AK66" si="32">SUMIF($B$3:$B$131,$U35,S$3:S$131)</f>
        <v>0</v>
      </c>
    </row>
    <row r="36" spans="1:37" x14ac:dyDescent="0.25">
      <c r="A36" s="421">
        <v>34</v>
      </c>
      <c r="B36" s="542" t="s">
        <v>755</v>
      </c>
      <c r="C36" s="421">
        <v>6</v>
      </c>
      <c r="D36" s="419">
        <f>SUMIFS('boc xe'!U$2:U$27,'boc xe'!$B$2:$B$27,'chia CN boc xe'!$C36)</f>
        <v>0</v>
      </c>
      <c r="E36" s="419">
        <f>SUMIFS('boc xe'!V$2:V$27,'boc xe'!$B$2:$B$27,'chia CN boc xe'!$C36)</f>
        <v>0</v>
      </c>
      <c r="F36" s="419">
        <f>SUMIFS('boc xe'!W$2:W$27,'boc xe'!$B$2:$B$27,'chia CN boc xe'!$C36)</f>
        <v>0</v>
      </c>
      <c r="G36" s="419">
        <f>SUMIFS('boc xe'!X$2:X$27,'boc xe'!$B$2:$B$27,'chia CN boc xe'!$C36)</f>
        <v>8.2857142857142865</v>
      </c>
      <c r="H36" s="419">
        <f>SUMIFS('boc xe'!Y$2:Y$27,'boc xe'!$B$2:$B$27,'chia CN boc xe'!$C36)</f>
        <v>0</v>
      </c>
      <c r="I36" s="419">
        <f>SUMIFS('boc xe'!Z$2:Z$27,'boc xe'!$B$2:$B$27,'chia CN boc xe'!$C36)</f>
        <v>17.142857142857142</v>
      </c>
      <c r="J36" s="419">
        <f>SUMIFS('boc xe'!AA$2:AA$27,'boc xe'!$B$2:$B$27,'chia CN boc xe'!$C36)</f>
        <v>0</v>
      </c>
      <c r="K36" s="419">
        <f>SUMIFS('boc xe'!AB$2:AB$27,'boc xe'!$B$2:$B$27,'chia CN boc xe'!$C36)</f>
        <v>0</v>
      </c>
      <c r="L36" s="419">
        <f>SUMIFS('boc xe'!AC$2:AC$27,'boc xe'!$B$2:$B$27,'chia CN boc xe'!$C36)</f>
        <v>0</v>
      </c>
      <c r="M36" s="419">
        <f>SUMIFS('boc xe'!AD$2:AD$27,'boc xe'!$B$2:$B$27,'chia CN boc xe'!$C36)</f>
        <v>0</v>
      </c>
      <c r="N36" s="419">
        <f>SUMIFS('boc xe'!AE$2:AE$27,'boc xe'!$B$2:$B$27,'chia CN boc xe'!$C36)</f>
        <v>0</v>
      </c>
      <c r="O36" s="419">
        <f>SUMIFS('boc xe'!AF$2:AF$27,'boc xe'!$B$2:$B$27,'chia CN boc xe'!$C36)</f>
        <v>0</v>
      </c>
      <c r="P36" s="419">
        <f>SUMIFS('boc xe'!AG$2:AG$27,'boc xe'!$B$2:$B$27,'chia CN boc xe'!$C36)</f>
        <v>0</v>
      </c>
      <c r="Q36" s="419">
        <f>SUMIFS('boc xe'!AH$2:AH$27,'boc xe'!$B$2:$B$27,'chia CN boc xe'!$C36)</f>
        <v>0</v>
      </c>
      <c r="R36" s="419">
        <f>SUMIFS('boc xe'!AI$2:AI$27,'boc xe'!$B$2:$B$27,'chia CN boc xe'!$C36)</f>
        <v>0</v>
      </c>
      <c r="S36" s="419">
        <f>SUMIFS('boc xe'!AJ$2:AJ$27,'boc xe'!$B$2:$B$27,'chia CN boc xe'!$C36)</f>
        <v>0</v>
      </c>
      <c r="U36" s="542" t="e">
        <f>'BANG LUONG 1'!#REF!</f>
        <v>#REF!</v>
      </c>
      <c r="V36" s="81">
        <f t="shared" si="17"/>
        <v>0</v>
      </c>
      <c r="W36" s="81">
        <f t="shared" si="18"/>
        <v>0</v>
      </c>
      <c r="X36" s="81">
        <f t="shared" si="19"/>
        <v>0</v>
      </c>
      <c r="Y36" s="81">
        <f t="shared" si="20"/>
        <v>0</v>
      </c>
      <c r="Z36" s="81">
        <f t="shared" si="21"/>
        <v>0</v>
      </c>
      <c r="AA36" s="81">
        <f t="shared" si="22"/>
        <v>0</v>
      </c>
      <c r="AB36" s="81">
        <f t="shared" si="23"/>
        <v>0</v>
      </c>
      <c r="AC36" s="81">
        <f t="shared" si="24"/>
        <v>0</v>
      </c>
      <c r="AD36" s="81">
        <f t="shared" si="25"/>
        <v>0</v>
      </c>
      <c r="AE36" s="81">
        <f t="shared" si="26"/>
        <v>0</v>
      </c>
      <c r="AF36" s="81">
        <f t="shared" si="27"/>
        <v>0</v>
      </c>
      <c r="AG36" s="81">
        <f t="shared" si="28"/>
        <v>0</v>
      </c>
      <c r="AH36" s="81">
        <f t="shared" si="29"/>
        <v>0</v>
      </c>
      <c r="AI36" s="81">
        <f t="shared" si="30"/>
        <v>0</v>
      </c>
      <c r="AJ36" s="81">
        <f t="shared" si="31"/>
        <v>0</v>
      </c>
      <c r="AK36" s="81">
        <f t="shared" si="32"/>
        <v>0</v>
      </c>
    </row>
    <row r="37" spans="1:37" x14ac:dyDescent="0.25">
      <c r="A37" s="421">
        <v>35</v>
      </c>
      <c r="B37" s="542" t="s">
        <v>754</v>
      </c>
      <c r="C37" s="421">
        <v>6</v>
      </c>
      <c r="D37" s="419">
        <f>SUMIFS('boc xe'!U$2:U$27,'boc xe'!$B$2:$B$27,'chia CN boc xe'!$C37)</f>
        <v>0</v>
      </c>
      <c r="E37" s="419">
        <f>SUMIFS('boc xe'!V$2:V$27,'boc xe'!$B$2:$B$27,'chia CN boc xe'!$C37)</f>
        <v>0</v>
      </c>
      <c r="F37" s="419">
        <f>SUMIFS('boc xe'!W$2:W$27,'boc xe'!$B$2:$B$27,'chia CN boc xe'!$C37)</f>
        <v>0</v>
      </c>
      <c r="G37" s="419">
        <f>SUMIFS('boc xe'!X$2:X$27,'boc xe'!$B$2:$B$27,'chia CN boc xe'!$C37)</f>
        <v>8.2857142857142865</v>
      </c>
      <c r="H37" s="419">
        <f>SUMIFS('boc xe'!Y$2:Y$27,'boc xe'!$B$2:$B$27,'chia CN boc xe'!$C37)</f>
        <v>0</v>
      </c>
      <c r="I37" s="419">
        <f>SUMIFS('boc xe'!Z$2:Z$27,'boc xe'!$B$2:$B$27,'chia CN boc xe'!$C37)</f>
        <v>17.142857142857142</v>
      </c>
      <c r="J37" s="419">
        <f>SUMIFS('boc xe'!AA$2:AA$27,'boc xe'!$B$2:$B$27,'chia CN boc xe'!$C37)</f>
        <v>0</v>
      </c>
      <c r="K37" s="419">
        <f>SUMIFS('boc xe'!AB$2:AB$27,'boc xe'!$B$2:$B$27,'chia CN boc xe'!$C37)</f>
        <v>0</v>
      </c>
      <c r="L37" s="419">
        <f>SUMIFS('boc xe'!AC$2:AC$27,'boc xe'!$B$2:$B$27,'chia CN boc xe'!$C37)</f>
        <v>0</v>
      </c>
      <c r="M37" s="419">
        <f>SUMIFS('boc xe'!AD$2:AD$27,'boc xe'!$B$2:$B$27,'chia CN boc xe'!$C37)</f>
        <v>0</v>
      </c>
      <c r="N37" s="419">
        <f>SUMIFS('boc xe'!AE$2:AE$27,'boc xe'!$B$2:$B$27,'chia CN boc xe'!$C37)</f>
        <v>0</v>
      </c>
      <c r="O37" s="419">
        <f>SUMIFS('boc xe'!AF$2:AF$27,'boc xe'!$B$2:$B$27,'chia CN boc xe'!$C37)</f>
        <v>0</v>
      </c>
      <c r="P37" s="419">
        <f>SUMIFS('boc xe'!AG$2:AG$27,'boc xe'!$B$2:$B$27,'chia CN boc xe'!$C37)</f>
        <v>0</v>
      </c>
      <c r="Q37" s="419">
        <f>SUMIFS('boc xe'!AH$2:AH$27,'boc xe'!$B$2:$B$27,'chia CN boc xe'!$C37)</f>
        <v>0</v>
      </c>
      <c r="R37" s="419">
        <f>SUMIFS('boc xe'!AI$2:AI$27,'boc xe'!$B$2:$B$27,'chia CN boc xe'!$C37)</f>
        <v>0</v>
      </c>
      <c r="S37" s="419">
        <f>SUMIFS('boc xe'!AJ$2:AJ$27,'boc xe'!$B$2:$B$27,'chia CN boc xe'!$C37)</f>
        <v>0</v>
      </c>
      <c r="U37" s="542" t="e">
        <f>'BANG LUONG 1'!#REF!</f>
        <v>#REF!</v>
      </c>
      <c r="V37" s="81">
        <f t="shared" si="17"/>
        <v>0</v>
      </c>
      <c r="W37" s="81">
        <f t="shared" si="18"/>
        <v>0</v>
      </c>
      <c r="X37" s="81">
        <f t="shared" si="19"/>
        <v>0</v>
      </c>
      <c r="Y37" s="81">
        <f t="shared" si="20"/>
        <v>0</v>
      </c>
      <c r="Z37" s="81">
        <f t="shared" si="21"/>
        <v>0</v>
      </c>
      <c r="AA37" s="81">
        <f t="shared" si="22"/>
        <v>0</v>
      </c>
      <c r="AB37" s="81">
        <f t="shared" si="23"/>
        <v>0</v>
      </c>
      <c r="AC37" s="81">
        <f t="shared" si="24"/>
        <v>0</v>
      </c>
      <c r="AD37" s="81">
        <f t="shared" si="25"/>
        <v>0</v>
      </c>
      <c r="AE37" s="81">
        <f t="shared" si="26"/>
        <v>0</v>
      </c>
      <c r="AF37" s="81">
        <f t="shared" si="27"/>
        <v>0</v>
      </c>
      <c r="AG37" s="81">
        <f t="shared" si="28"/>
        <v>0</v>
      </c>
      <c r="AH37" s="81">
        <f t="shared" si="29"/>
        <v>0</v>
      </c>
      <c r="AI37" s="81">
        <f t="shared" si="30"/>
        <v>0</v>
      </c>
      <c r="AJ37" s="81">
        <f t="shared" si="31"/>
        <v>0</v>
      </c>
      <c r="AK37" s="81">
        <f t="shared" si="32"/>
        <v>0</v>
      </c>
    </row>
    <row r="38" spans="1:37" x14ac:dyDescent="0.25">
      <c r="A38" s="421">
        <v>36</v>
      </c>
      <c r="B38" s="543" t="s">
        <v>84</v>
      </c>
      <c r="C38" s="421">
        <v>7</v>
      </c>
      <c r="D38" s="419">
        <f>SUMIFS('boc xe'!U$2:U$27,'boc xe'!$B$2:$B$27,'chia CN boc xe'!$C38)</f>
        <v>9</v>
      </c>
      <c r="E38" s="419">
        <f>SUMIFS('boc xe'!V$2:V$27,'boc xe'!$B$2:$B$27,'chia CN boc xe'!$C38)</f>
        <v>8.8571428571428577</v>
      </c>
      <c r="F38" s="419">
        <f>SUMIFS('boc xe'!W$2:W$27,'boc xe'!$B$2:$B$27,'chia CN boc xe'!$C38)</f>
        <v>4.5714285714285712</v>
      </c>
      <c r="G38" s="419">
        <f>SUMIFS('boc xe'!X$2:X$27,'boc xe'!$B$2:$B$27,'chia CN boc xe'!$C38)</f>
        <v>26.428571428571427</v>
      </c>
      <c r="H38" s="419">
        <f>SUMIFS('boc xe'!Y$2:Y$27,'boc xe'!$B$2:$B$27,'chia CN boc xe'!$C38)</f>
        <v>0</v>
      </c>
      <c r="I38" s="419">
        <f>SUMIFS('boc xe'!Z$2:Z$27,'boc xe'!$B$2:$B$27,'chia CN boc xe'!$C38)</f>
        <v>10.285714285714286</v>
      </c>
      <c r="J38" s="419">
        <f>SUMIFS('boc xe'!AA$2:AA$27,'boc xe'!$B$2:$B$27,'chia CN boc xe'!$C38)</f>
        <v>0</v>
      </c>
      <c r="K38" s="419">
        <f>SUMIFS('boc xe'!AB$2:AB$27,'boc xe'!$B$2:$B$27,'chia CN boc xe'!$C38)</f>
        <v>11.428571428571429</v>
      </c>
      <c r="L38" s="419">
        <f>SUMIFS('boc xe'!AC$2:AC$27,'boc xe'!$B$2:$B$27,'chia CN boc xe'!$C38)</f>
        <v>15</v>
      </c>
      <c r="M38" s="419">
        <f>SUMIFS('boc xe'!AD$2:AD$27,'boc xe'!$B$2:$B$27,'chia CN boc xe'!$C38)</f>
        <v>0</v>
      </c>
      <c r="N38" s="419">
        <f>SUMIFS('boc xe'!AE$2:AE$27,'boc xe'!$B$2:$B$27,'chia CN boc xe'!$C38)</f>
        <v>0</v>
      </c>
      <c r="O38" s="419">
        <f>SUMIFS('boc xe'!AF$2:AF$27,'boc xe'!$B$2:$B$27,'chia CN boc xe'!$C38)</f>
        <v>0</v>
      </c>
      <c r="P38" s="419">
        <f>SUMIFS('boc xe'!AG$2:AG$27,'boc xe'!$B$2:$B$27,'chia CN boc xe'!$C38)</f>
        <v>0</v>
      </c>
      <c r="Q38" s="419">
        <f>SUMIFS('boc xe'!AH$2:AH$27,'boc xe'!$B$2:$B$27,'chia CN boc xe'!$C38)</f>
        <v>0</v>
      </c>
      <c r="R38" s="419">
        <f>SUMIFS('boc xe'!AI$2:AI$27,'boc xe'!$B$2:$B$27,'chia CN boc xe'!$C38)</f>
        <v>0</v>
      </c>
      <c r="S38" s="419">
        <f>SUMIFS('boc xe'!AJ$2:AJ$27,'boc xe'!$B$2:$B$27,'chia CN boc xe'!$C38)</f>
        <v>0</v>
      </c>
      <c r="U38" s="543" t="e">
        <f>'BANG LUONG 1'!#REF!</f>
        <v>#REF!</v>
      </c>
      <c r="V38" s="81">
        <f t="shared" si="17"/>
        <v>0</v>
      </c>
      <c r="W38" s="81">
        <f t="shared" si="18"/>
        <v>0</v>
      </c>
      <c r="X38" s="81">
        <f t="shared" si="19"/>
        <v>0</v>
      </c>
      <c r="Y38" s="81">
        <f t="shared" si="20"/>
        <v>0</v>
      </c>
      <c r="Z38" s="81">
        <f t="shared" si="21"/>
        <v>0</v>
      </c>
      <c r="AA38" s="81">
        <f t="shared" si="22"/>
        <v>0</v>
      </c>
      <c r="AB38" s="81">
        <f t="shared" si="23"/>
        <v>0</v>
      </c>
      <c r="AC38" s="81">
        <f t="shared" si="24"/>
        <v>0</v>
      </c>
      <c r="AD38" s="81">
        <f t="shared" si="25"/>
        <v>0</v>
      </c>
      <c r="AE38" s="81">
        <f t="shared" si="26"/>
        <v>0</v>
      </c>
      <c r="AF38" s="81">
        <f t="shared" si="27"/>
        <v>0</v>
      </c>
      <c r="AG38" s="81">
        <f t="shared" si="28"/>
        <v>0</v>
      </c>
      <c r="AH38" s="81">
        <f t="shared" si="29"/>
        <v>0</v>
      </c>
      <c r="AI38" s="81">
        <f t="shared" si="30"/>
        <v>0</v>
      </c>
      <c r="AJ38" s="81">
        <f t="shared" si="31"/>
        <v>0</v>
      </c>
      <c r="AK38" s="81">
        <f t="shared" si="32"/>
        <v>0</v>
      </c>
    </row>
    <row r="39" spans="1:37" x14ac:dyDescent="0.25">
      <c r="A39" s="421">
        <v>37</v>
      </c>
      <c r="B39" s="542" t="s">
        <v>614</v>
      </c>
      <c r="C39" s="421">
        <v>7</v>
      </c>
      <c r="D39" s="419">
        <f>SUMIFS('boc xe'!U$2:U$27,'boc xe'!$B$2:$B$27,'chia CN boc xe'!$C39)</f>
        <v>9</v>
      </c>
      <c r="E39" s="419">
        <f>SUMIFS('boc xe'!V$2:V$27,'boc xe'!$B$2:$B$27,'chia CN boc xe'!$C39)</f>
        <v>8.8571428571428577</v>
      </c>
      <c r="F39" s="419">
        <f>SUMIFS('boc xe'!W$2:W$27,'boc xe'!$B$2:$B$27,'chia CN boc xe'!$C39)</f>
        <v>4.5714285714285712</v>
      </c>
      <c r="G39" s="419">
        <f>SUMIFS('boc xe'!X$2:X$27,'boc xe'!$B$2:$B$27,'chia CN boc xe'!$C39)</f>
        <v>26.428571428571427</v>
      </c>
      <c r="H39" s="419">
        <f>SUMIFS('boc xe'!Y$2:Y$27,'boc xe'!$B$2:$B$27,'chia CN boc xe'!$C39)</f>
        <v>0</v>
      </c>
      <c r="I39" s="419">
        <f>SUMIFS('boc xe'!Z$2:Z$27,'boc xe'!$B$2:$B$27,'chia CN boc xe'!$C39)</f>
        <v>10.285714285714286</v>
      </c>
      <c r="J39" s="419">
        <f>SUMIFS('boc xe'!AA$2:AA$27,'boc xe'!$B$2:$B$27,'chia CN boc xe'!$C39)</f>
        <v>0</v>
      </c>
      <c r="K39" s="419">
        <f>SUMIFS('boc xe'!AB$2:AB$27,'boc xe'!$B$2:$B$27,'chia CN boc xe'!$C39)</f>
        <v>11.428571428571429</v>
      </c>
      <c r="L39" s="419">
        <f>SUMIFS('boc xe'!AC$2:AC$27,'boc xe'!$B$2:$B$27,'chia CN boc xe'!$C39)</f>
        <v>15</v>
      </c>
      <c r="M39" s="419">
        <f>SUMIFS('boc xe'!AD$2:AD$27,'boc xe'!$B$2:$B$27,'chia CN boc xe'!$C39)</f>
        <v>0</v>
      </c>
      <c r="N39" s="419">
        <f>SUMIFS('boc xe'!AE$2:AE$27,'boc xe'!$B$2:$B$27,'chia CN boc xe'!$C39)</f>
        <v>0</v>
      </c>
      <c r="O39" s="419">
        <f>SUMIFS('boc xe'!AF$2:AF$27,'boc xe'!$B$2:$B$27,'chia CN boc xe'!$C39)</f>
        <v>0</v>
      </c>
      <c r="P39" s="419">
        <f>SUMIFS('boc xe'!AG$2:AG$27,'boc xe'!$B$2:$B$27,'chia CN boc xe'!$C39)</f>
        <v>0</v>
      </c>
      <c r="Q39" s="419">
        <f>SUMIFS('boc xe'!AH$2:AH$27,'boc xe'!$B$2:$B$27,'chia CN boc xe'!$C39)</f>
        <v>0</v>
      </c>
      <c r="R39" s="419">
        <f>SUMIFS('boc xe'!AI$2:AI$27,'boc xe'!$B$2:$B$27,'chia CN boc xe'!$C39)</f>
        <v>0</v>
      </c>
      <c r="S39" s="419">
        <f>SUMIFS('boc xe'!AJ$2:AJ$27,'boc xe'!$B$2:$B$27,'chia CN boc xe'!$C39)</f>
        <v>0</v>
      </c>
      <c r="U39" s="254" t="e">
        <f>'BANG LUONG 1'!#REF!</f>
        <v>#REF!</v>
      </c>
      <c r="V39" s="81">
        <f t="shared" si="17"/>
        <v>0</v>
      </c>
      <c r="W39" s="81">
        <f t="shared" si="18"/>
        <v>0</v>
      </c>
      <c r="X39" s="81">
        <f t="shared" si="19"/>
        <v>0</v>
      </c>
      <c r="Y39" s="81">
        <f t="shared" si="20"/>
        <v>0</v>
      </c>
      <c r="Z39" s="81">
        <f t="shared" si="21"/>
        <v>0</v>
      </c>
      <c r="AA39" s="81">
        <f t="shared" si="22"/>
        <v>0</v>
      </c>
      <c r="AB39" s="81">
        <f t="shared" si="23"/>
        <v>0</v>
      </c>
      <c r="AC39" s="81">
        <f t="shared" si="24"/>
        <v>0</v>
      </c>
      <c r="AD39" s="81">
        <f t="shared" si="25"/>
        <v>0</v>
      </c>
      <c r="AE39" s="81">
        <f t="shared" si="26"/>
        <v>0</v>
      </c>
      <c r="AF39" s="81">
        <f t="shared" si="27"/>
        <v>0</v>
      </c>
      <c r="AG39" s="81">
        <f t="shared" si="28"/>
        <v>0</v>
      </c>
      <c r="AH39" s="81">
        <f t="shared" si="29"/>
        <v>0</v>
      </c>
      <c r="AI39" s="81">
        <f t="shared" si="30"/>
        <v>0</v>
      </c>
      <c r="AJ39" s="81">
        <f t="shared" si="31"/>
        <v>0</v>
      </c>
      <c r="AK39" s="81">
        <f t="shared" si="32"/>
        <v>0</v>
      </c>
    </row>
    <row r="40" spans="1:37" x14ac:dyDescent="0.25">
      <c r="A40" s="421">
        <v>38</v>
      </c>
      <c r="B40" s="543" t="s">
        <v>615</v>
      </c>
      <c r="C40" s="421">
        <v>7</v>
      </c>
      <c r="D40" s="419">
        <f>SUMIFS('boc xe'!U$2:U$27,'boc xe'!$B$2:$B$27,'chia CN boc xe'!$C40)</f>
        <v>9</v>
      </c>
      <c r="E40" s="419">
        <f>SUMIFS('boc xe'!V$2:V$27,'boc xe'!$B$2:$B$27,'chia CN boc xe'!$C40)</f>
        <v>8.8571428571428577</v>
      </c>
      <c r="F40" s="419">
        <f>SUMIFS('boc xe'!W$2:W$27,'boc xe'!$B$2:$B$27,'chia CN boc xe'!$C40)</f>
        <v>4.5714285714285712</v>
      </c>
      <c r="G40" s="419">
        <f>SUMIFS('boc xe'!X$2:X$27,'boc xe'!$B$2:$B$27,'chia CN boc xe'!$C40)</f>
        <v>26.428571428571427</v>
      </c>
      <c r="H40" s="419">
        <f>SUMIFS('boc xe'!Y$2:Y$27,'boc xe'!$B$2:$B$27,'chia CN boc xe'!$C40)</f>
        <v>0</v>
      </c>
      <c r="I40" s="419">
        <f>SUMIFS('boc xe'!Z$2:Z$27,'boc xe'!$B$2:$B$27,'chia CN boc xe'!$C40)</f>
        <v>10.285714285714286</v>
      </c>
      <c r="J40" s="419">
        <f>SUMIFS('boc xe'!AA$2:AA$27,'boc xe'!$B$2:$B$27,'chia CN boc xe'!$C40)</f>
        <v>0</v>
      </c>
      <c r="K40" s="419">
        <f>SUMIFS('boc xe'!AB$2:AB$27,'boc xe'!$B$2:$B$27,'chia CN boc xe'!$C40)</f>
        <v>11.428571428571429</v>
      </c>
      <c r="L40" s="419">
        <f>SUMIFS('boc xe'!AC$2:AC$27,'boc xe'!$B$2:$B$27,'chia CN boc xe'!$C40)</f>
        <v>15</v>
      </c>
      <c r="M40" s="419">
        <f>SUMIFS('boc xe'!AD$2:AD$27,'boc xe'!$B$2:$B$27,'chia CN boc xe'!$C40)</f>
        <v>0</v>
      </c>
      <c r="N40" s="419">
        <f>SUMIFS('boc xe'!AE$2:AE$27,'boc xe'!$B$2:$B$27,'chia CN boc xe'!$C40)</f>
        <v>0</v>
      </c>
      <c r="O40" s="419">
        <f>SUMIFS('boc xe'!AF$2:AF$27,'boc xe'!$B$2:$B$27,'chia CN boc xe'!$C40)</f>
        <v>0</v>
      </c>
      <c r="P40" s="419">
        <f>SUMIFS('boc xe'!AG$2:AG$27,'boc xe'!$B$2:$B$27,'chia CN boc xe'!$C40)</f>
        <v>0</v>
      </c>
      <c r="Q40" s="419">
        <f>SUMIFS('boc xe'!AH$2:AH$27,'boc xe'!$B$2:$B$27,'chia CN boc xe'!$C40)</f>
        <v>0</v>
      </c>
      <c r="R40" s="419">
        <f>SUMIFS('boc xe'!AI$2:AI$27,'boc xe'!$B$2:$B$27,'chia CN boc xe'!$C40)</f>
        <v>0</v>
      </c>
      <c r="S40" s="419">
        <f>SUMIFS('boc xe'!AJ$2:AJ$27,'boc xe'!$B$2:$B$27,'chia CN boc xe'!$C40)</f>
        <v>0</v>
      </c>
      <c r="U40" s="542" t="e">
        <f>'BANG LUONG 1'!#REF!</f>
        <v>#REF!</v>
      </c>
      <c r="V40" s="81">
        <f t="shared" si="17"/>
        <v>0</v>
      </c>
      <c r="W40" s="81">
        <f t="shared" si="18"/>
        <v>0</v>
      </c>
      <c r="X40" s="81">
        <f t="shared" si="19"/>
        <v>0</v>
      </c>
      <c r="Y40" s="81">
        <f t="shared" si="20"/>
        <v>0</v>
      </c>
      <c r="Z40" s="81">
        <f t="shared" si="21"/>
        <v>0</v>
      </c>
      <c r="AA40" s="81">
        <f t="shared" si="22"/>
        <v>0</v>
      </c>
      <c r="AB40" s="81">
        <f t="shared" si="23"/>
        <v>0</v>
      </c>
      <c r="AC40" s="81">
        <f t="shared" si="24"/>
        <v>0</v>
      </c>
      <c r="AD40" s="81">
        <f t="shared" si="25"/>
        <v>0</v>
      </c>
      <c r="AE40" s="81">
        <f t="shared" si="26"/>
        <v>0</v>
      </c>
      <c r="AF40" s="81">
        <f t="shared" si="27"/>
        <v>0</v>
      </c>
      <c r="AG40" s="81">
        <f t="shared" si="28"/>
        <v>0</v>
      </c>
      <c r="AH40" s="81">
        <f t="shared" si="29"/>
        <v>0</v>
      </c>
      <c r="AI40" s="81">
        <f t="shared" si="30"/>
        <v>0</v>
      </c>
      <c r="AJ40" s="81">
        <f t="shared" si="31"/>
        <v>0</v>
      </c>
      <c r="AK40" s="81">
        <f t="shared" si="32"/>
        <v>0</v>
      </c>
    </row>
    <row r="41" spans="1:37" x14ac:dyDescent="0.25">
      <c r="A41" s="421">
        <v>39</v>
      </c>
      <c r="B41" s="545" t="s">
        <v>719</v>
      </c>
      <c r="C41" s="421">
        <v>7</v>
      </c>
      <c r="D41" s="419">
        <f>SUMIFS('boc xe'!U$2:U$27,'boc xe'!$B$2:$B$27,'chia CN boc xe'!$C41)</f>
        <v>9</v>
      </c>
      <c r="E41" s="419">
        <f>SUMIFS('boc xe'!V$2:V$27,'boc xe'!$B$2:$B$27,'chia CN boc xe'!$C41)</f>
        <v>8.8571428571428577</v>
      </c>
      <c r="F41" s="419">
        <f>SUMIFS('boc xe'!W$2:W$27,'boc xe'!$B$2:$B$27,'chia CN boc xe'!$C41)</f>
        <v>4.5714285714285712</v>
      </c>
      <c r="G41" s="419">
        <f>SUMIFS('boc xe'!X$2:X$27,'boc xe'!$B$2:$B$27,'chia CN boc xe'!$C41)</f>
        <v>26.428571428571427</v>
      </c>
      <c r="H41" s="419">
        <f>SUMIFS('boc xe'!Y$2:Y$27,'boc xe'!$B$2:$B$27,'chia CN boc xe'!$C41)</f>
        <v>0</v>
      </c>
      <c r="I41" s="419">
        <f>SUMIFS('boc xe'!Z$2:Z$27,'boc xe'!$B$2:$B$27,'chia CN boc xe'!$C41)</f>
        <v>10.285714285714286</v>
      </c>
      <c r="J41" s="419">
        <f>SUMIFS('boc xe'!AA$2:AA$27,'boc xe'!$B$2:$B$27,'chia CN boc xe'!$C41)</f>
        <v>0</v>
      </c>
      <c r="K41" s="419">
        <f>SUMIFS('boc xe'!AB$2:AB$27,'boc xe'!$B$2:$B$27,'chia CN boc xe'!$C41)</f>
        <v>11.428571428571429</v>
      </c>
      <c r="L41" s="419">
        <f>SUMIFS('boc xe'!AC$2:AC$27,'boc xe'!$B$2:$B$27,'chia CN boc xe'!$C41)</f>
        <v>15</v>
      </c>
      <c r="M41" s="419">
        <f>SUMIFS('boc xe'!AD$2:AD$27,'boc xe'!$B$2:$B$27,'chia CN boc xe'!$C41)</f>
        <v>0</v>
      </c>
      <c r="N41" s="419">
        <f>SUMIFS('boc xe'!AE$2:AE$27,'boc xe'!$B$2:$B$27,'chia CN boc xe'!$C41)</f>
        <v>0</v>
      </c>
      <c r="O41" s="419">
        <f>SUMIFS('boc xe'!AF$2:AF$27,'boc xe'!$B$2:$B$27,'chia CN boc xe'!$C41)</f>
        <v>0</v>
      </c>
      <c r="P41" s="419">
        <f>SUMIFS('boc xe'!AG$2:AG$27,'boc xe'!$B$2:$B$27,'chia CN boc xe'!$C41)</f>
        <v>0</v>
      </c>
      <c r="Q41" s="419">
        <f>SUMIFS('boc xe'!AH$2:AH$27,'boc xe'!$B$2:$B$27,'chia CN boc xe'!$C41)</f>
        <v>0</v>
      </c>
      <c r="R41" s="419">
        <f>SUMIFS('boc xe'!AI$2:AI$27,'boc xe'!$B$2:$B$27,'chia CN boc xe'!$C41)</f>
        <v>0</v>
      </c>
      <c r="S41" s="419">
        <f>SUMIFS('boc xe'!AJ$2:AJ$27,'boc xe'!$B$2:$B$27,'chia CN boc xe'!$C41)</f>
        <v>0</v>
      </c>
      <c r="U41" s="542" t="e">
        <f>'BANG LUONG 1'!#REF!</f>
        <v>#REF!</v>
      </c>
      <c r="V41" s="81">
        <f t="shared" si="17"/>
        <v>0</v>
      </c>
      <c r="W41" s="81">
        <f t="shared" si="18"/>
        <v>0</v>
      </c>
      <c r="X41" s="81">
        <f t="shared" si="19"/>
        <v>0</v>
      </c>
      <c r="Y41" s="81">
        <f t="shared" si="20"/>
        <v>0</v>
      </c>
      <c r="Z41" s="81">
        <f t="shared" si="21"/>
        <v>0</v>
      </c>
      <c r="AA41" s="81">
        <f t="shared" si="22"/>
        <v>0</v>
      </c>
      <c r="AB41" s="81">
        <f t="shared" si="23"/>
        <v>0</v>
      </c>
      <c r="AC41" s="81">
        <f t="shared" si="24"/>
        <v>0</v>
      </c>
      <c r="AD41" s="81">
        <f t="shared" si="25"/>
        <v>0</v>
      </c>
      <c r="AE41" s="81">
        <f t="shared" si="26"/>
        <v>0</v>
      </c>
      <c r="AF41" s="81">
        <f t="shared" si="27"/>
        <v>0</v>
      </c>
      <c r="AG41" s="81">
        <f t="shared" si="28"/>
        <v>0</v>
      </c>
      <c r="AH41" s="81">
        <f t="shared" si="29"/>
        <v>0</v>
      </c>
      <c r="AI41" s="81">
        <f t="shared" si="30"/>
        <v>0</v>
      </c>
      <c r="AJ41" s="81">
        <f t="shared" si="31"/>
        <v>0</v>
      </c>
      <c r="AK41" s="81">
        <f t="shared" si="32"/>
        <v>0</v>
      </c>
    </row>
    <row r="42" spans="1:37" x14ac:dyDescent="0.25">
      <c r="A42" s="421">
        <v>40</v>
      </c>
      <c r="B42" s="542" t="s">
        <v>715</v>
      </c>
      <c r="C42" s="421">
        <v>7</v>
      </c>
      <c r="D42" s="419">
        <f>SUMIFS('boc xe'!U$2:U$27,'boc xe'!$B$2:$B$27,'chia CN boc xe'!$C42)</f>
        <v>9</v>
      </c>
      <c r="E42" s="419">
        <f>SUMIFS('boc xe'!V$2:V$27,'boc xe'!$B$2:$B$27,'chia CN boc xe'!$C42)</f>
        <v>8.8571428571428577</v>
      </c>
      <c r="F42" s="419">
        <f>SUMIFS('boc xe'!W$2:W$27,'boc xe'!$B$2:$B$27,'chia CN boc xe'!$C42)</f>
        <v>4.5714285714285712</v>
      </c>
      <c r="G42" s="419">
        <f>SUMIFS('boc xe'!X$2:X$27,'boc xe'!$B$2:$B$27,'chia CN boc xe'!$C42)</f>
        <v>26.428571428571427</v>
      </c>
      <c r="H42" s="419">
        <f>SUMIFS('boc xe'!Y$2:Y$27,'boc xe'!$B$2:$B$27,'chia CN boc xe'!$C42)</f>
        <v>0</v>
      </c>
      <c r="I42" s="419">
        <f>SUMIFS('boc xe'!Z$2:Z$27,'boc xe'!$B$2:$B$27,'chia CN boc xe'!$C42)</f>
        <v>10.285714285714286</v>
      </c>
      <c r="J42" s="419">
        <f>SUMIFS('boc xe'!AA$2:AA$27,'boc xe'!$B$2:$B$27,'chia CN boc xe'!$C42)</f>
        <v>0</v>
      </c>
      <c r="K42" s="419">
        <f>SUMIFS('boc xe'!AB$2:AB$27,'boc xe'!$B$2:$B$27,'chia CN boc xe'!$C42)</f>
        <v>11.428571428571429</v>
      </c>
      <c r="L42" s="419">
        <f>SUMIFS('boc xe'!AC$2:AC$27,'boc xe'!$B$2:$B$27,'chia CN boc xe'!$C42)</f>
        <v>15</v>
      </c>
      <c r="M42" s="419">
        <f>SUMIFS('boc xe'!AD$2:AD$27,'boc xe'!$B$2:$B$27,'chia CN boc xe'!$C42)</f>
        <v>0</v>
      </c>
      <c r="N42" s="419">
        <f>SUMIFS('boc xe'!AE$2:AE$27,'boc xe'!$B$2:$B$27,'chia CN boc xe'!$C42)</f>
        <v>0</v>
      </c>
      <c r="O42" s="419">
        <f>SUMIFS('boc xe'!AF$2:AF$27,'boc xe'!$B$2:$B$27,'chia CN boc xe'!$C42)</f>
        <v>0</v>
      </c>
      <c r="P42" s="419">
        <f>SUMIFS('boc xe'!AG$2:AG$27,'boc xe'!$B$2:$B$27,'chia CN boc xe'!$C42)</f>
        <v>0</v>
      </c>
      <c r="Q42" s="419">
        <f>SUMIFS('boc xe'!AH$2:AH$27,'boc xe'!$B$2:$B$27,'chia CN boc xe'!$C42)</f>
        <v>0</v>
      </c>
      <c r="R42" s="419">
        <f>SUMIFS('boc xe'!AI$2:AI$27,'boc xe'!$B$2:$B$27,'chia CN boc xe'!$C42)</f>
        <v>0</v>
      </c>
      <c r="S42" s="419">
        <f>SUMIFS('boc xe'!AJ$2:AJ$27,'boc xe'!$B$2:$B$27,'chia CN boc xe'!$C42)</f>
        <v>0</v>
      </c>
      <c r="U42" s="543" t="e">
        <f>'BANG LUONG 1'!#REF!</f>
        <v>#REF!</v>
      </c>
      <c r="V42" s="81">
        <f t="shared" si="17"/>
        <v>0</v>
      </c>
      <c r="W42" s="81">
        <f t="shared" si="18"/>
        <v>0</v>
      </c>
      <c r="X42" s="81">
        <f t="shared" si="19"/>
        <v>0</v>
      </c>
      <c r="Y42" s="81">
        <f t="shared" si="20"/>
        <v>0</v>
      </c>
      <c r="Z42" s="81">
        <f t="shared" si="21"/>
        <v>0</v>
      </c>
      <c r="AA42" s="81">
        <f t="shared" si="22"/>
        <v>0</v>
      </c>
      <c r="AB42" s="81">
        <f t="shared" si="23"/>
        <v>0</v>
      </c>
      <c r="AC42" s="81">
        <f t="shared" si="24"/>
        <v>0</v>
      </c>
      <c r="AD42" s="81">
        <f t="shared" si="25"/>
        <v>0</v>
      </c>
      <c r="AE42" s="81">
        <f t="shared" si="26"/>
        <v>0</v>
      </c>
      <c r="AF42" s="81">
        <f t="shared" si="27"/>
        <v>0</v>
      </c>
      <c r="AG42" s="81">
        <f t="shared" si="28"/>
        <v>0</v>
      </c>
      <c r="AH42" s="81">
        <f t="shared" si="29"/>
        <v>0</v>
      </c>
      <c r="AI42" s="81">
        <f t="shared" si="30"/>
        <v>0</v>
      </c>
      <c r="AJ42" s="81">
        <f t="shared" si="31"/>
        <v>0</v>
      </c>
      <c r="AK42" s="81">
        <f t="shared" si="32"/>
        <v>0</v>
      </c>
    </row>
    <row r="43" spans="1:37" x14ac:dyDescent="0.25">
      <c r="A43" s="421">
        <v>41</v>
      </c>
      <c r="B43" s="542" t="s">
        <v>716</v>
      </c>
      <c r="C43" s="421">
        <v>7</v>
      </c>
      <c r="D43" s="419">
        <f>SUMIFS('boc xe'!U$2:U$27,'boc xe'!$B$2:$B$27,'chia CN boc xe'!$C43)</f>
        <v>9</v>
      </c>
      <c r="E43" s="419">
        <f>SUMIFS('boc xe'!V$2:V$27,'boc xe'!$B$2:$B$27,'chia CN boc xe'!$C43)</f>
        <v>8.8571428571428577</v>
      </c>
      <c r="F43" s="419">
        <f>SUMIFS('boc xe'!W$2:W$27,'boc xe'!$B$2:$B$27,'chia CN boc xe'!$C43)</f>
        <v>4.5714285714285712</v>
      </c>
      <c r="G43" s="419">
        <f>SUMIFS('boc xe'!X$2:X$27,'boc xe'!$B$2:$B$27,'chia CN boc xe'!$C43)</f>
        <v>26.428571428571427</v>
      </c>
      <c r="H43" s="419">
        <f>SUMIFS('boc xe'!Y$2:Y$27,'boc xe'!$B$2:$B$27,'chia CN boc xe'!$C43)</f>
        <v>0</v>
      </c>
      <c r="I43" s="419">
        <f>SUMIFS('boc xe'!Z$2:Z$27,'boc xe'!$B$2:$B$27,'chia CN boc xe'!$C43)</f>
        <v>10.285714285714286</v>
      </c>
      <c r="J43" s="419">
        <f>SUMIFS('boc xe'!AA$2:AA$27,'boc xe'!$B$2:$B$27,'chia CN boc xe'!$C43)</f>
        <v>0</v>
      </c>
      <c r="K43" s="419">
        <f>SUMIFS('boc xe'!AB$2:AB$27,'boc xe'!$B$2:$B$27,'chia CN boc xe'!$C43)</f>
        <v>11.428571428571429</v>
      </c>
      <c r="L43" s="419">
        <f>SUMIFS('boc xe'!AC$2:AC$27,'boc xe'!$B$2:$B$27,'chia CN boc xe'!$C43)</f>
        <v>15</v>
      </c>
      <c r="M43" s="419">
        <f>SUMIFS('boc xe'!AD$2:AD$27,'boc xe'!$B$2:$B$27,'chia CN boc xe'!$C43)</f>
        <v>0</v>
      </c>
      <c r="N43" s="419">
        <f>SUMIFS('boc xe'!AE$2:AE$27,'boc xe'!$B$2:$B$27,'chia CN boc xe'!$C43)</f>
        <v>0</v>
      </c>
      <c r="O43" s="419">
        <f>SUMIFS('boc xe'!AF$2:AF$27,'boc xe'!$B$2:$B$27,'chia CN boc xe'!$C43)</f>
        <v>0</v>
      </c>
      <c r="P43" s="419">
        <f>SUMIFS('boc xe'!AG$2:AG$27,'boc xe'!$B$2:$B$27,'chia CN boc xe'!$C43)</f>
        <v>0</v>
      </c>
      <c r="Q43" s="419">
        <f>SUMIFS('boc xe'!AH$2:AH$27,'boc xe'!$B$2:$B$27,'chia CN boc xe'!$C43)</f>
        <v>0</v>
      </c>
      <c r="R43" s="419">
        <f>SUMIFS('boc xe'!AI$2:AI$27,'boc xe'!$B$2:$B$27,'chia CN boc xe'!$C43)</f>
        <v>0</v>
      </c>
      <c r="S43" s="419">
        <f>SUMIFS('boc xe'!AJ$2:AJ$27,'boc xe'!$B$2:$B$27,'chia CN boc xe'!$C43)</f>
        <v>0</v>
      </c>
      <c r="U43" s="543" t="e">
        <f>'BANG LUONG 1'!#REF!</f>
        <v>#REF!</v>
      </c>
      <c r="V43" s="81">
        <f t="shared" si="17"/>
        <v>0</v>
      </c>
      <c r="W43" s="81">
        <f t="shared" si="18"/>
        <v>0</v>
      </c>
      <c r="X43" s="81">
        <f t="shared" si="19"/>
        <v>0</v>
      </c>
      <c r="Y43" s="81">
        <f t="shared" si="20"/>
        <v>0</v>
      </c>
      <c r="Z43" s="81">
        <f t="shared" si="21"/>
        <v>0</v>
      </c>
      <c r="AA43" s="81">
        <f t="shared" si="22"/>
        <v>0</v>
      </c>
      <c r="AB43" s="81">
        <f t="shared" si="23"/>
        <v>0</v>
      </c>
      <c r="AC43" s="81">
        <f t="shared" si="24"/>
        <v>0</v>
      </c>
      <c r="AD43" s="81">
        <f t="shared" si="25"/>
        <v>0</v>
      </c>
      <c r="AE43" s="81">
        <f t="shared" si="26"/>
        <v>0</v>
      </c>
      <c r="AF43" s="81">
        <f t="shared" si="27"/>
        <v>0</v>
      </c>
      <c r="AG43" s="81">
        <f t="shared" si="28"/>
        <v>0</v>
      </c>
      <c r="AH43" s="81">
        <f t="shared" si="29"/>
        <v>0</v>
      </c>
      <c r="AI43" s="81">
        <f t="shared" si="30"/>
        <v>0</v>
      </c>
      <c r="AJ43" s="81">
        <f t="shared" si="31"/>
        <v>0</v>
      </c>
      <c r="AK43" s="81">
        <f t="shared" si="32"/>
        <v>0</v>
      </c>
    </row>
    <row r="44" spans="1:37" x14ac:dyDescent="0.25">
      <c r="A44" s="421">
        <v>42</v>
      </c>
      <c r="B44" s="542" t="s">
        <v>753</v>
      </c>
      <c r="C44" s="421">
        <v>7</v>
      </c>
      <c r="D44" s="419">
        <f>SUMIFS('boc xe'!U$2:U$27,'boc xe'!$B$2:$B$27,'chia CN boc xe'!$C44)</f>
        <v>9</v>
      </c>
      <c r="E44" s="419">
        <f>SUMIFS('boc xe'!V$2:V$27,'boc xe'!$B$2:$B$27,'chia CN boc xe'!$C44)</f>
        <v>8.8571428571428577</v>
      </c>
      <c r="F44" s="419">
        <f>SUMIFS('boc xe'!W$2:W$27,'boc xe'!$B$2:$B$27,'chia CN boc xe'!$C44)</f>
        <v>4.5714285714285712</v>
      </c>
      <c r="G44" s="419">
        <f>SUMIFS('boc xe'!X$2:X$27,'boc xe'!$B$2:$B$27,'chia CN boc xe'!$C44)</f>
        <v>26.428571428571427</v>
      </c>
      <c r="H44" s="419">
        <f>SUMIFS('boc xe'!Y$2:Y$27,'boc xe'!$B$2:$B$27,'chia CN boc xe'!$C44)</f>
        <v>0</v>
      </c>
      <c r="I44" s="419">
        <f>SUMIFS('boc xe'!Z$2:Z$27,'boc xe'!$B$2:$B$27,'chia CN boc xe'!$C44)</f>
        <v>10.285714285714286</v>
      </c>
      <c r="J44" s="419">
        <f>SUMIFS('boc xe'!AA$2:AA$27,'boc xe'!$B$2:$B$27,'chia CN boc xe'!$C44)</f>
        <v>0</v>
      </c>
      <c r="K44" s="419">
        <f>SUMIFS('boc xe'!AB$2:AB$27,'boc xe'!$B$2:$B$27,'chia CN boc xe'!$C44)</f>
        <v>11.428571428571429</v>
      </c>
      <c r="L44" s="419">
        <f>SUMIFS('boc xe'!AC$2:AC$27,'boc xe'!$B$2:$B$27,'chia CN boc xe'!$C44)</f>
        <v>15</v>
      </c>
      <c r="M44" s="419">
        <f>SUMIFS('boc xe'!AD$2:AD$27,'boc xe'!$B$2:$B$27,'chia CN boc xe'!$C44)</f>
        <v>0</v>
      </c>
      <c r="N44" s="419">
        <f>SUMIFS('boc xe'!AE$2:AE$27,'boc xe'!$B$2:$B$27,'chia CN boc xe'!$C44)</f>
        <v>0</v>
      </c>
      <c r="O44" s="419">
        <f>SUMIFS('boc xe'!AF$2:AF$27,'boc xe'!$B$2:$B$27,'chia CN boc xe'!$C44)</f>
        <v>0</v>
      </c>
      <c r="P44" s="419">
        <f>SUMIFS('boc xe'!AG$2:AG$27,'boc xe'!$B$2:$B$27,'chia CN boc xe'!$C44)</f>
        <v>0</v>
      </c>
      <c r="Q44" s="419">
        <f>SUMIFS('boc xe'!AH$2:AH$27,'boc xe'!$B$2:$B$27,'chia CN boc xe'!$C44)</f>
        <v>0</v>
      </c>
      <c r="R44" s="419">
        <f>SUMIFS('boc xe'!AI$2:AI$27,'boc xe'!$B$2:$B$27,'chia CN boc xe'!$C44)</f>
        <v>0</v>
      </c>
      <c r="S44" s="419">
        <f>SUMIFS('boc xe'!AJ$2:AJ$27,'boc xe'!$B$2:$B$27,'chia CN boc xe'!$C44)</f>
        <v>0</v>
      </c>
      <c r="U44" s="254" t="e">
        <f>'BANG LUONG 1'!#REF!</f>
        <v>#REF!</v>
      </c>
      <c r="V44" s="81">
        <f t="shared" si="17"/>
        <v>0</v>
      </c>
      <c r="W44" s="81">
        <f t="shared" si="18"/>
        <v>0</v>
      </c>
      <c r="X44" s="81">
        <f t="shared" si="19"/>
        <v>0</v>
      </c>
      <c r="Y44" s="81">
        <f t="shared" si="20"/>
        <v>0</v>
      </c>
      <c r="Z44" s="81">
        <f t="shared" si="21"/>
        <v>0</v>
      </c>
      <c r="AA44" s="81">
        <f t="shared" si="22"/>
        <v>0</v>
      </c>
      <c r="AB44" s="81">
        <f t="shared" si="23"/>
        <v>0</v>
      </c>
      <c r="AC44" s="81">
        <f t="shared" si="24"/>
        <v>0</v>
      </c>
      <c r="AD44" s="81">
        <f t="shared" si="25"/>
        <v>0</v>
      </c>
      <c r="AE44" s="81">
        <f t="shared" si="26"/>
        <v>0</v>
      </c>
      <c r="AF44" s="81">
        <f t="shared" si="27"/>
        <v>0</v>
      </c>
      <c r="AG44" s="81">
        <f t="shared" si="28"/>
        <v>0</v>
      </c>
      <c r="AH44" s="81">
        <f t="shared" si="29"/>
        <v>0</v>
      </c>
      <c r="AI44" s="81">
        <f t="shared" si="30"/>
        <v>0</v>
      </c>
      <c r="AJ44" s="81">
        <f t="shared" si="31"/>
        <v>0</v>
      </c>
      <c r="AK44" s="81">
        <f t="shared" si="32"/>
        <v>0</v>
      </c>
    </row>
    <row r="45" spans="1:37" x14ac:dyDescent="0.25">
      <c r="A45" s="421">
        <v>43</v>
      </c>
      <c r="B45" s="542" t="s">
        <v>601</v>
      </c>
      <c r="C45" s="421">
        <v>8</v>
      </c>
      <c r="D45" s="419">
        <f>SUMIFS('boc xe'!U$2:U$27,'boc xe'!$B$2:$B$27,'chia CN boc xe'!$C45)</f>
        <v>0</v>
      </c>
      <c r="E45" s="419">
        <f>SUMIFS('boc xe'!V$2:V$27,'boc xe'!$B$2:$B$27,'chia CN boc xe'!$C45)</f>
        <v>0</v>
      </c>
      <c r="F45" s="419">
        <f>SUMIFS('boc xe'!W$2:W$27,'boc xe'!$B$2:$B$27,'chia CN boc xe'!$C45)</f>
        <v>0</v>
      </c>
      <c r="G45" s="419">
        <f>SUMIFS('boc xe'!X$2:X$27,'boc xe'!$B$2:$B$27,'chia CN boc xe'!$C45)</f>
        <v>0</v>
      </c>
      <c r="H45" s="419">
        <f>SUMIFS('boc xe'!Y$2:Y$27,'boc xe'!$B$2:$B$27,'chia CN boc xe'!$C45)</f>
        <v>0</v>
      </c>
      <c r="I45" s="419">
        <f>SUMIFS('boc xe'!Z$2:Z$27,'boc xe'!$B$2:$B$27,'chia CN boc xe'!$C45)</f>
        <v>30</v>
      </c>
      <c r="J45" s="419">
        <f>SUMIFS('boc xe'!AA$2:AA$27,'boc xe'!$B$2:$B$27,'chia CN boc xe'!$C45)</f>
        <v>0</v>
      </c>
      <c r="K45" s="419">
        <f>SUMIFS('boc xe'!AB$2:AB$27,'boc xe'!$B$2:$B$27,'chia CN boc xe'!$C45)</f>
        <v>0</v>
      </c>
      <c r="L45" s="419">
        <f>SUMIFS('boc xe'!AC$2:AC$27,'boc xe'!$B$2:$B$27,'chia CN boc xe'!$C45)</f>
        <v>0</v>
      </c>
      <c r="M45" s="419">
        <f>SUMIFS('boc xe'!AD$2:AD$27,'boc xe'!$B$2:$B$27,'chia CN boc xe'!$C45)</f>
        <v>0</v>
      </c>
      <c r="N45" s="419">
        <f>SUMIFS('boc xe'!AE$2:AE$27,'boc xe'!$B$2:$B$27,'chia CN boc xe'!$C45)</f>
        <v>0</v>
      </c>
      <c r="O45" s="419">
        <f>SUMIFS('boc xe'!AF$2:AF$27,'boc xe'!$B$2:$B$27,'chia CN boc xe'!$C45)</f>
        <v>0</v>
      </c>
      <c r="P45" s="419">
        <f>SUMIFS('boc xe'!AG$2:AG$27,'boc xe'!$B$2:$B$27,'chia CN boc xe'!$C45)</f>
        <v>0</v>
      </c>
      <c r="Q45" s="419">
        <f>SUMIFS('boc xe'!AH$2:AH$27,'boc xe'!$B$2:$B$27,'chia CN boc xe'!$C45)</f>
        <v>0</v>
      </c>
      <c r="R45" s="419">
        <f>SUMIFS('boc xe'!AI$2:AI$27,'boc xe'!$B$2:$B$27,'chia CN boc xe'!$C45)</f>
        <v>0</v>
      </c>
      <c r="S45" s="419">
        <f>SUMIFS('boc xe'!AJ$2:AJ$27,'boc xe'!$B$2:$B$27,'chia CN boc xe'!$C45)</f>
        <v>0</v>
      </c>
      <c r="U45" s="543" t="e">
        <f>'BANG LUONG 1'!#REF!</f>
        <v>#REF!</v>
      </c>
      <c r="V45" s="81">
        <f t="shared" si="17"/>
        <v>0</v>
      </c>
      <c r="W45" s="81">
        <f t="shared" si="18"/>
        <v>0</v>
      </c>
      <c r="X45" s="81">
        <f t="shared" si="19"/>
        <v>0</v>
      </c>
      <c r="Y45" s="81">
        <f t="shared" si="20"/>
        <v>0</v>
      </c>
      <c r="Z45" s="81">
        <f t="shared" si="21"/>
        <v>0</v>
      </c>
      <c r="AA45" s="81">
        <f t="shared" si="22"/>
        <v>0</v>
      </c>
      <c r="AB45" s="81">
        <f t="shared" si="23"/>
        <v>0</v>
      </c>
      <c r="AC45" s="81">
        <f t="shared" si="24"/>
        <v>0</v>
      </c>
      <c r="AD45" s="81">
        <f t="shared" si="25"/>
        <v>0</v>
      </c>
      <c r="AE45" s="81">
        <f t="shared" si="26"/>
        <v>0</v>
      </c>
      <c r="AF45" s="81">
        <f t="shared" si="27"/>
        <v>0</v>
      </c>
      <c r="AG45" s="81">
        <f t="shared" si="28"/>
        <v>0</v>
      </c>
      <c r="AH45" s="81">
        <f t="shared" si="29"/>
        <v>0</v>
      </c>
      <c r="AI45" s="81">
        <f t="shared" si="30"/>
        <v>0</v>
      </c>
      <c r="AJ45" s="81">
        <f t="shared" si="31"/>
        <v>0</v>
      </c>
      <c r="AK45" s="81">
        <f t="shared" si="32"/>
        <v>0</v>
      </c>
    </row>
    <row r="46" spans="1:37" x14ac:dyDescent="0.25">
      <c r="A46" s="421">
        <v>44</v>
      </c>
      <c r="B46" s="542" t="s">
        <v>622</v>
      </c>
      <c r="C46" s="421">
        <v>8</v>
      </c>
      <c r="D46" s="419">
        <f>SUMIFS('boc xe'!U$2:U$27,'boc xe'!$B$2:$B$27,'chia CN boc xe'!$C46)</f>
        <v>0</v>
      </c>
      <c r="E46" s="419">
        <f>SUMIFS('boc xe'!V$2:V$27,'boc xe'!$B$2:$B$27,'chia CN boc xe'!$C46)</f>
        <v>0</v>
      </c>
      <c r="F46" s="419">
        <f>SUMIFS('boc xe'!W$2:W$27,'boc xe'!$B$2:$B$27,'chia CN boc xe'!$C46)</f>
        <v>0</v>
      </c>
      <c r="G46" s="419">
        <f>SUMIFS('boc xe'!X$2:X$27,'boc xe'!$B$2:$B$27,'chia CN boc xe'!$C46)</f>
        <v>0</v>
      </c>
      <c r="H46" s="419">
        <f>SUMIFS('boc xe'!Y$2:Y$27,'boc xe'!$B$2:$B$27,'chia CN boc xe'!$C46)</f>
        <v>0</v>
      </c>
      <c r="I46" s="419">
        <f>SUMIFS('boc xe'!Z$2:Z$27,'boc xe'!$B$2:$B$27,'chia CN boc xe'!$C46)</f>
        <v>30</v>
      </c>
      <c r="J46" s="419">
        <f>SUMIFS('boc xe'!AA$2:AA$27,'boc xe'!$B$2:$B$27,'chia CN boc xe'!$C46)</f>
        <v>0</v>
      </c>
      <c r="K46" s="419">
        <f>SUMIFS('boc xe'!AB$2:AB$27,'boc xe'!$B$2:$B$27,'chia CN boc xe'!$C46)</f>
        <v>0</v>
      </c>
      <c r="L46" s="419">
        <f>SUMIFS('boc xe'!AC$2:AC$27,'boc xe'!$B$2:$B$27,'chia CN boc xe'!$C46)</f>
        <v>0</v>
      </c>
      <c r="M46" s="419">
        <f>SUMIFS('boc xe'!AD$2:AD$27,'boc xe'!$B$2:$B$27,'chia CN boc xe'!$C46)</f>
        <v>0</v>
      </c>
      <c r="N46" s="419">
        <f>SUMIFS('boc xe'!AE$2:AE$27,'boc xe'!$B$2:$B$27,'chia CN boc xe'!$C46)</f>
        <v>0</v>
      </c>
      <c r="O46" s="419">
        <f>SUMIFS('boc xe'!AF$2:AF$27,'boc xe'!$B$2:$B$27,'chia CN boc xe'!$C46)</f>
        <v>0</v>
      </c>
      <c r="P46" s="419">
        <f>SUMIFS('boc xe'!AG$2:AG$27,'boc xe'!$B$2:$B$27,'chia CN boc xe'!$C46)</f>
        <v>0</v>
      </c>
      <c r="Q46" s="419">
        <f>SUMIFS('boc xe'!AH$2:AH$27,'boc xe'!$B$2:$B$27,'chia CN boc xe'!$C46)</f>
        <v>0</v>
      </c>
      <c r="R46" s="419">
        <f>SUMIFS('boc xe'!AI$2:AI$27,'boc xe'!$B$2:$B$27,'chia CN boc xe'!$C46)</f>
        <v>0</v>
      </c>
      <c r="S46" s="419">
        <f>SUMIFS('boc xe'!AJ$2:AJ$27,'boc xe'!$B$2:$B$27,'chia CN boc xe'!$C46)</f>
        <v>0</v>
      </c>
      <c r="U46" s="543" t="e">
        <f>'BANG LUONG 1'!#REF!</f>
        <v>#REF!</v>
      </c>
      <c r="V46" s="81">
        <f t="shared" si="17"/>
        <v>0</v>
      </c>
      <c r="W46" s="81">
        <f t="shared" si="18"/>
        <v>0</v>
      </c>
      <c r="X46" s="81">
        <f t="shared" si="19"/>
        <v>0</v>
      </c>
      <c r="Y46" s="81">
        <f t="shared" si="20"/>
        <v>0</v>
      </c>
      <c r="Z46" s="81">
        <f t="shared" si="21"/>
        <v>0</v>
      </c>
      <c r="AA46" s="81">
        <f t="shared" si="22"/>
        <v>0</v>
      </c>
      <c r="AB46" s="81">
        <f t="shared" si="23"/>
        <v>0</v>
      </c>
      <c r="AC46" s="81">
        <f t="shared" si="24"/>
        <v>0</v>
      </c>
      <c r="AD46" s="81">
        <f t="shared" si="25"/>
        <v>0</v>
      </c>
      <c r="AE46" s="81">
        <f t="shared" si="26"/>
        <v>0</v>
      </c>
      <c r="AF46" s="81">
        <f t="shared" si="27"/>
        <v>0</v>
      </c>
      <c r="AG46" s="81">
        <f t="shared" si="28"/>
        <v>0</v>
      </c>
      <c r="AH46" s="81">
        <f t="shared" si="29"/>
        <v>0</v>
      </c>
      <c r="AI46" s="81">
        <f t="shared" si="30"/>
        <v>0</v>
      </c>
      <c r="AJ46" s="81">
        <f t="shared" si="31"/>
        <v>0</v>
      </c>
      <c r="AK46" s="81">
        <f t="shared" si="32"/>
        <v>0</v>
      </c>
    </row>
    <row r="47" spans="1:37" x14ac:dyDescent="0.25">
      <c r="A47" s="421">
        <v>45</v>
      </c>
      <c r="B47" s="542" t="s">
        <v>625</v>
      </c>
      <c r="C47" s="421">
        <v>8</v>
      </c>
      <c r="D47" s="419">
        <f>SUMIFS('boc xe'!U$2:U$27,'boc xe'!$B$2:$B$27,'chia CN boc xe'!$C47)</f>
        <v>0</v>
      </c>
      <c r="E47" s="419">
        <f>SUMIFS('boc xe'!V$2:V$27,'boc xe'!$B$2:$B$27,'chia CN boc xe'!$C47)</f>
        <v>0</v>
      </c>
      <c r="F47" s="419">
        <f>SUMIFS('boc xe'!W$2:W$27,'boc xe'!$B$2:$B$27,'chia CN boc xe'!$C47)</f>
        <v>0</v>
      </c>
      <c r="G47" s="419">
        <f>SUMIFS('boc xe'!X$2:X$27,'boc xe'!$B$2:$B$27,'chia CN boc xe'!$C47)</f>
        <v>0</v>
      </c>
      <c r="H47" s="419">
        <f>SUMIFS('boc xe'!Y$2:Y$27,'boc xe'!$B$2:$B$27,'chia CN boc xe'!$C47)</f>
        <v>0</v>
      </c>
      <c r="I47" s="419">
        <f>SUMIFS('boc xe'!Z$2:Z$27,'boc xe'!$B$2:$B$27,'chia CN boc xe'!$C47)</f>
        <v>30</v>
      </c>
      <c r="J47" s="419">
        <f>SUMIFS('boc xe'!AA$2:AA$27,'boc xe'!$B$2:$B$27,'chia CN boc xe'!$C47)</f>
        <v>0</v>
      </c>
      <c r="K47" s="419">
        <f>SUMIFS('boc xe'!AB$2:AB$27,'boc xe'!$B$2:$B$27,'chia CN boc xe'!$C47)</f>
        <v>0</v>
      </c>
      <c r="L47" s="419">
        <f>SUMIFS('boc xe'!AC$2:AC$27,'boc xe'!$B$2:$B$27,'chia CN boc xe'!$C47)</f>
        <v>0</v>
      </c>
      <c r="M47" s="419">
        <f>SUMIFS('boc xe'!AD$2:AD$27,'boc xe'!$B$2:$B$27,'chia CN boc xe'!$C47)</f>
        <v>0</v>
      </c>
      <c r="N47" s="419">
        <f>SUMIFS('boc xe'!AE$2:AE$27,'boc xe'!$B$2:$B$27,'chia CN boc xe'!$C47)</f>
        <v>0</v>
      </c>
      <c r="O47" s="419">
        <f>SUMIFS('boc xe'!AF$2:AF$27,'boc xe'!$B$2:$B$27,'chia CN boc xe'!$C47)</f>
        <v>0</v>
      </c>
      <c r="P47" s="419">
        <f>SUMIFS('boc xe'!AG$2:AG$27,'boc xe'!$B$2:$B$27,'chia CN boc xe'!$C47)</f>
        <v>0</v>
      </c>
      <c r="Q47" s="419">
        <f>SUMIFS('boc xe'!AH$2:AH$27,'boc xe'!$B$2:$B$27,'chia CN boc xe'!$C47)</f>
        <v>0</v>
      </c>
      <c r="R47" s="419">
        <f>SUMIFS('boc xe'!AI$2:AI$27,'boc xe'!$B$2:$B$27,'chia CN boc xe'!$C47)</f>
        <v>0</v>
      </c>
      <c r="S47" s="419">
        <f>SUMIFS('boc xe'!AJ$2:AJ$27,'boc xe'!$B$2:$B$27,'chia CN boc xe'!$C47)</f>
        <v>0</v>
      </c>
      <c r="U47" s="542" t="e">
        <f>'BANG LUONG 1'!#REF!</f>
        <v>#REF!</v>
      </c>
      <c r="V47" s="81">
        <f t="shared" si="17"/>
        <v>0</v>
      </c>
      <c r="W47" s="81">
        <f t="shared" si="18"/>
        <v>0</v>
      </c>
      <c r="X47" s="81">
        <f t="shared" si="19"/>
        <v>0</v>
      </c>
      <c r="Y47" s="81">
        <f t="shared" si="20"/>
        <v>0</v>
      </c>
      <c r="Z47" s="81">
        <f t="shared" si="21"/>
        <v>0</v>
      </c>
      <c r="AA47" s="81">
        <f t="shared" si="22"/>
        <v>0</v>
      </c>
      <c r="AB47" s="81">
        <f t="shared" si="23"/>
        <v>0</v>
      </c>
      <c r="AC47" s="81">
        <f t="shared" si="24"/>
        <v>0</v>
      </c>
      <c r="AD47" s="81">
        <f t="shared" si="25"/>
        <v>0</v>
      </c>
      <c r="AE47" s="81">
        <f t="shared" si="26"/>
        <v>0</v>
      </c>
      <c r="AF47" s="81">
        <f t="shared" si="27"/>
        <v>0</v>
      </c>
      <c r="AG47" s="81">
        <f t="shared" si="28"/>
        <v>0</v>
      </c>
      <c r="AH47" s="81">
        <f t="shared" si="29"/>
        <v>0</v>
      </c>
      <c r="AI47" s="81">
        <f t="shared" si="30"/>
        <v>0</v>
      </c>
      <c r="AJ47" s="81">
        <f t="shared" si="31"/>
        <v>0</v>
      </c>
      <c r="AK47" s="81">
        <f t="shared" si="32"/>
        <v>0</v>
      </c>
    </row>
    <row r="48" spans="1:37" x14ac:dyDescent="0.25">
      <c r="A48" s="421">
        <v>46</v>
      </c>
      <c r="B48" s="543" t="s">
        <v>701</v>
      </c>
      <c r="C48" s="421">
        <v>8</v>
      </c>
      <c r="D48" s="419">
        <f>SUMIFS('boc xe'!U$2:U$27,'boc xe'!$B$2:$B$27,'chia CN boc xe'!$C48)</f>
        <v>0</v>
      </c>
      <c r="E48" s="419">
        <f>SUMIFS('boc xe'!V$2:V$27,'boc xe'!$B$2:$B$27,'chia CN boc xe'!$C48)</f>
        <v>0</v>
      </c>
      <c r="F48" s="419">
        <f>SUMIFS('boc xe'!W$2:W$27,'boc xe'!$B$2:$B$27,'chia CN boc xe'!$C48)</f>
        <v>0</v>
      </c>
      <c r="G48" s="419">
        <f>SUMIFS('boc xe'!X$2:X$27,'boc xe'!$B$2:$B$27,'chia CN boc xe'!$C48)</f>
        <v>0</v>
      </c>
      <c r="H48" s="419">
        <f>SUMIFS('boc xe'!Y$2:Y$27,'boc xe'!$B$2:$B$27,'chia CN boc xe'!$C48)</f>
        <v>0</v>
      </c>
      <c r="I48" s="419">
        <f>SUMIFS('boc xe'!Z$2:Z$27,'boc xe'!$B$2:$B$27,'chia CN boc xe'!$C48)</f>
        <v>30</v>
      </c>
      <c r="J48" s="419">
        <f>SUMIFS('boc xe'!AA$2:AA$27,'boc xe'!$B$2:$B$27,'chia CN boc xe'!$C48)</f>
        <v>0</v>
      </c>
      <c r="K48" s="419">
        <f>SUMIFS('boc xe'!AB$2:AB$27,'boc xe'!$B$2:$B$27,'chia CN boc xe'!$C48)</f>
        <v>0</v>
      </c>
      <c r="L48" s="419">
        <f>SUMIFS('boc xe'!AC$2:AC$27,'boc xe'!$B$2:$B$27,'chia CN boc xe'!$C48)</f>
        <v>0</v>
      </c>
      <c r="M48" s="419">
        <f>SUMIFS('boc xe'!AD$2:AD$27,'boc xe'!$B$2:$B$27,'chia CN boc xe'!$C48)</f>
        <v>0</v>
      </c>
      <c r="N48" s="419">
        <f>SUMIFS('boc xe'!AE$2:AE$27,'boc xe'!$B$2:$B$27,'chia CN boc xe'!$C48)</f>
        <v>0</v>
      </c>
      <c r="O48" s="419">
        <f>SUMIFS('boc xe'!AF$2:AF$27,'boc xe'!$B$2:$B$27,'chia CN boc xe'!$C48)</f>
        <v>0</v>
      </c>
      <c r="P48" s="419">
        <f>SUMIFS('boc xe'!AG$2:AG$27,'boc xe'!$B$2:$B$27,'chia CN boc xe'!$C48)</f>
        <v>0</v>
      </c>
      <c r="Q48" s="419">
        <f>SUMIFS('boc xe'!AH$2:AH$27,'boc xe'!$B$2:$B$27,'chia CN boc xe'!$C48)</f>
        <v>0</v>
      </c>
      <c r="R48" s="419">
        <f>SUMIFS('boc xe'!AI$2:AI$27,'boc xe'!$B$2:$B$27,'chia CN boc xe'!$C48)</f>
        <v>0</v>
      </c>
      <c r="S48" s="419">
        <f>SUMIFS('boc xe'!AJ$2:AJ$27,'boc xe'!$B$2:$B$27,'chia CN boc xe'!$C48)</f>
        <v>0</v>
      </c>
      <c r="U48" s="542" t="e">
        <f>'BANG LUONG 1'!#REF!</f>
        <v>#REF!</v>
      </c>
      <c r="V48" s="81">
        <f t="shared" si="17"/>
        <v>0</v>
      </c>
      <c r="W48" s="81">
        <f t="shared" si="18"/>
        <v>0</v>
      </c>
      <c r="X48" s="81">
        <f t="shared" si="19"/>
        <v>0</v>
      </c>
      <c r="Y48" s="81">
        <f t="shared" si="20"/>
        <v>0</v>
      </c>
      <c r="Z48" s="81">
        <f t="shared" si="21"/>
        <v>0</v>
      </c>
      <c r="AA48" s="81">
        <f t="shared" si="22"/>
        <v>0</v>
      </c>
      <c r="AB48" s="81">
        <f t="shared" si="23"/>
        <v>0</v>
      </c>
      <c r="AC48" s="81">
        <f t="shared" si="24"/>
        <v>0</v>
      </c>
      <c r="AD48" s="81">
        <f t="shared" si="25"/>
        <v>0</v>
      </c>
      <c r="AE48" s="81">
        <f t="shared" si="26"/>
        <v>0</v>
      </c>
      <c r="AF48" s="81">
        <f t="shared" si="27"/>
        <v>0</v>
      </c>
      <c r="AG48" s="81">
        <f t="shared" si="28"/>
        <v>0</v>
      </c>
      <c r="AH48" s="81">
        <f t="shared" si="29"/>
        <v>0</v>
      </c>
      <c r="AI48" s="81">
        <f t="shared" si="30"/>
        <v>0</v>
      </c>
      <c r="AJ48" s="81">
        <f t="shared" si="31"/>
        <v>0</v>
      </c>
      <c r="AK48" s="81">
        <f t="shared" si="32"/>
        <v>0</v>
      </c>
    </row>
    <row r="49" spans="1:37" x14ac:dyDescent="0.25">
      <c r="A49" s="421">
        <v>48</v>
      </c>
      <c r="B49" s="543" t="s">
        <v>717</v>
      </c>
      <c r="C49" s="421">
        <v>8</v>
      </c>
      <c r="D49" s="419">
        <f>SUMIFS('boc xe'!U$2:U$27,'boc xe'!$B$2:$B$27,'chia CN boc xe'!$C49)</f>
        <v>0</v>
      </c>
      <c r="E49" s="419">
        <f>SUMIFS('boc xe'!V$2:V$27,'boc xe'!$B$2:$B$27,'chia CN boc xe'!$C49)</f>
        <v>0</v>
      </c>
      <c r="F49" s="419">
        <f>SUMIFS('boc xe'!W$2:W$27,'boc xe'!$B$2:$B$27,'chia CN boc xe'!$C49)</f>
        <v>0</v>
      </c>
      <c r="G49" s="419">
        <f>SUMIFS('boc xe'!X$2:X$27,'boc xe'!$B$2:$B$27,'chia CN boc xe'!$C49)</f>
        <v>0</v>
      </c>
      <c r="H49" s="419">
        <f>SUMIFS('boc xe'!Y$2:Y$27,'boc xe'!$B$2:$B$27,'chia CN boc xe'!$C49)</f>
        <v>0</v>
      </c>
      <c r="I49" s="419">
        <f>SUMIFS('boc xe'!Z$2:Z$27,'boc xe'!$B$2:$B$27,'chia CN boc xe'!$C49)</f>
        <v>30</v>
      </c>
      <c r="J49" s="419">
        <f>SUMIFS('boc xe'!AA$2:AA$27,'boc xe'!$B$2:$B$27,'chia CN boc xe'!$C49)</f>
        <v>0</v>
      </c>
      <c r="K49" s="419">
        <f>SUMIFS('boc xe'!AB$2:AB$27,'boc xe'!$B$2:$B$27,'chia CN boc xe'!$C49)</f>
        <v>0</v>
      </c>
      <c r="L49" s="419">
        <f>SUMIFS('boc xe'!AC$2:AC$27,'boc xe'!$B$2:$B$27,'chia CN boc xe'!$C49)</f>
        <v>0</v>
      </c>
      <c r="M49" s="419">
        <f>SUMIFS('boc xe'!AD$2:AD$27,'boc xe'!$B$2:$B$27,'chia CN boc xe'!$C49)</f>
        <v>0</v>
      </c>
      <c r="N49" s="419">
        <f>SUMIFS('boc xe'!AE$2:AE$27,'boc xe'!$B$2:$B$27,'chia CN boc xe'!$C49)</f>
        <v>0</v>
      </c>
      <c r="O49" s="419">
        <f>SUMIFS('boc xe'!AF$2:AF$27,'boc xe'!$B$2:$B$27,'chia CN boc xe'!$C49)</f>
        <v>0</v>
      </c>
      <c r="P49" s="419">
        <f>SUMIFS('boc xe'!AG$2:AG$27,'boc xe'!$B$2:$B$27,'chia CN boc xe'!$C49)</f>
        <v>0</v>
      </c>
      <c r="Q49" s="419">
        <f>SUMIFS('boc xe'!AH$2:AH$27,'boc xe'!$B$2:$B$27,'chia CN boc xe'!$C49)</f>
        <v>0</v>
      </c>
      <c r="R49" s="419">
        <f>SUMIFS('boc xe'!AI$2:AI$27,'boc xe'!$B$2:$B$27,'chia CN boc xe'!$C49)</f>
        <v>0</v>
      </c>
      <c r="S49" s="419">
        <f>SUMIFS('boc xe'!AJ$2:AJ$27,'boc xe'!$B$2:$B$27,'chia CN boc xe'!$C49)</f>
        <v>0</v>
      </c>
      <c r="U49" s="542" t="e">
        <f>'BANG LUONG 1'!#REF!</f>
        <v>#REF!</v>
      </c>
      <c r="V49" s="81">
        <f t="shared" si="17"/>
        <v>0</v>
      </c>
      <c r="W49" s="81">
        <f t="shared" si="18"/>
        <v>0</v>
      </c>
      <c r="X49" s="81">
        <f t="shared" si="19"/>
        <v>0</v>
      </c>
      <c r="Y49" s="81">
        <f t="shared" si="20"/>
        <v>0</v>
      </c>
      <c r="Z49" s="81">
        <f t="shared" si="21"/>
        <v>0</v>
      </c>
      <c r="AA49" s="81">
        <f t="shared" si="22"/>
        <v>0</v>
      </c>
      <c r="AB49" s="81">
        <f t="shared" si="23"/>
        <v>0</v>
      </c>
      <c r="AC49" s="81">
        <f t="shared" si="24"/>
        <v>0</v>
      </c>
      <c r="AD49" s="81">
        <f t="shared" si="25"/>
        <v>0</v>
      </c>
      <c r="AE49" s="81">
        <f t="shared" si="26"/>
        <v>0</v>
      </c>
      <c r="AF49" s="81">
        <f t="shared" si="27"/>
        <v>0</v>
      </c>
      <c r="AG49" s="81">
        <f t="shared" si="28"/>
        <v>0</v>
      </c>
      <c r="AH49" s="81">
        <f t="shared" si="29"/>
        <v>0</v>
      </c>
      <c r="AI49" s="81">
        <f t="shared" si="30"/>
        <v>0</v>
      </c>
      <c r="AJ49" s="81">
        <f t="shared" si="31"/>
        <v>0</v>
      </c>
      <c r="AK49" s="81">
        <f t="shared" si="32"/>
        <v>0</v>
      </c>
    </row>
    <row r="50" spans="1:37" x14ac:dyDescent="0.25">
      <c r="A50" s="421">
        <v>49</v>
      </c>
      <c r="B50" s="543" t="s">
        <v>747</v>
      </c>
      <c r="C50" s="421">
        <v>8</v>
      </c>
      <c r="D50" s="419">
        <f>SUMIFS('boc xe'!U$2:U$27,'boc xe'!$B$2:$B$27,'chia CN boc xe'!$C50)</f>
        <v>0</v>
      </c>
      <c r="E50" s="419">
        <f>SUMIFS('boc xe'!V$2:V$27,'boc xe'!$B$2:$B$27,'chia CN boc xe'!$C50)</f>
        <v>0</v>
      </c>
      <c r="F50" s="419">
        <f>SUMIFS('boc xe'!W$2:W$27,'boc xe'!$B$2:$B$27,'chia CN boc xe'!$C50)</f>
        <v>0</v>
      </c>
      <c r="G50" s="419">
        <f>SUMIFS('boc xe'!X$2:X$27,'boc xe'!$B$2:$B$27,'chia CN boc xe'!$C50)</f>
        <v>0</v>
      </c>
      <c r="H50" s="419">
        <f>SUMIFS('boc xe'!Y$2:Y$27,'boc xe'!$B$2:$B$27,'chia CN boc xe'!$C50)</f>
        <v>0</v>
      </c>
      <c r="I50" s="419">
        <f>SUMIFS('boc xe'!Z$2:Z$27,'boc xe'!$B$2:$B$27,'chia CN boc xe'!$C50)</f>
        <v>30</v>
      </c>
      <c r="J50" s="419">
        <f>SUMIFS('boc xe'!AA$2:AA$27,'boc xe'!$B$2:$B$27,'chia CN boc xe'!$C50)</f>
        <v>0</v>
      </c>
      <c r="K50" s="419">
        <f>SUMIFS('boc xe'!AB$2:AB$27,'boc xe'!$B$2:$B$27,'chia CN boc xe'!$C50)</f>
        <v>0</v>
      </c>
      <c r="L50" s="419">
        <f>SUMIFS('boc xe'!AC$2:AC$27,'boc xe'!$B$2:$B$27,'chia CN boc xe'!$C50)</f>
        <v>0</v>
      </c>
      <c r="M50" s="419">
        <f>SUMIFS('boc xe'!AD$2:AD$27,'boc xe'!$B$2:$B$27,'chia CN boc xe'!$C50)</f>
        <v>0</v>
      </c>
      <c r="N50" s="419">
        <f>SUMIFS('boc xe'!AE$2:AE$27,'boc xe'!$B$2:$B$27,'chia CN boc xe'!$C50)</f>
        <v>0</v>
      </c>
      <c r="O50" s="419">
        <f>SUMIFS('boc xe'!AF$2:AF$27,'boc xe'!$B$2:$B$27,'chia CN boc xe'!$C50)</f>
        <v>0</v>
      </c>
      <c r="P50" s="419">
        <f>SUMIFS('boc xe'!AG$2:AG$27,'boc xe'!$B$2:$B$27,'chia CN boc xe'!$C50)</f>
        <v>0</v>
      </c>
      <c r="Q50" s="419">
        <f>SUMIFS('boc xe'!AH$2:AH$27,'boc xe'!$B$2:$B$27,'chia CN boc xe'!$C50)</f>
        <v>0</v>
      </c>
      <c r="R50" s="419">
        <f>SUMIFS('boc xe'!AI$2:AI$27,'boc xe'!$B$2:$B$27,'chia CN boc xe'!$C50)</f>
        <v>0</v>
      </c>
      <c r="S50" s="419">
        <f>SUMIFS('boc xe'!AJ$2:AJ$27,'boc xe'!$B$2:$B$27,'chia CN boc xe'!$C50)</f>
        <v>0</v>
      </c>
      <c r="U50" s="543" t="e">
        <f>'BANG LUONG 1'!#REF!</f>
        <v>#REF!</v>
      </c>
      <c r="V50" s="81">
        <f t="shared" si="17"/>
        <v>0</v>
      </c>
      <c r="W50" s="81">
        <f t="shared" si="18"/>
        <v>0</v>
      </c>
      <c r="X50" s="81">
        <f t="shared" si="19"/>
        <v>0</v>
      </c>
      <c r="Y50" s="81">
        <f t="shared" si="20"/>
        <v>0</v>
      </c>
      <c r="Z50" s="81">
        <f t="shared" si="21"/>
        <v>0</v>
      </c>
      <c r="AA50" s="81">
        <f t="shared" si="22"/>
        <v>0</v>
      </c>
      <c r="AB50" s="81">
        <f t="shared" si="23"/>
        <v>0</v>
      </c>
      <c r="AC50" s="81">
        <f t="shared" si="24"/>
        <v>0</v>
      </c>
      <c r="AD50" s="81">
        <f t="shared" si="25"/>
        <v>0</v>
      </c>
      <c r="AE50" s="81">
        <f t="shared" si="26"/>
        <v>0</v>
      </c>
      <c r="AF50" s="81">
        <f t="shared" si="27"/>
        <v>0</v>
      </c>
      <c r="AG50" s="81">
        <f t="shared" si="28"/>
        <v>0</v>
      </c>
      <c r="AH50" s="81">
        <f t="shared" si="29"/>
        <v>0</v>
      </c>
      <c r="AI50" s="81">
        <f t="shared" si="30"/>
        <v>0</v>
      </c>
      <c r="AJ50" s="81">
        <f t="shared" si="31"/>
        <v>0</v>
      </c>
      <c r="AK50" s="81">
        <f t="shared" si="32"/>
        <v>0</v>
      </c>
    </row>
    <row r="51" spans="1:37" x14ac:dyDescent="0.25">
      <c r="A51" s="421">
        <v>50</v>
      </c>
      <c r="B51" s="543" t="s">
        <v>617</v>
      </c>
      <c r="C51" s="421">
        <v>9</v>
      </c>
      <c r="D51" s="419">
        <f>SUMIFS('boc xe'!U$2:U$27,'boc xe'!$B$2:$B$27,'chia CN boc xe'!$C51)</f>
        <v>0</v>
      </c>
      <c r="E51" s="419">
        <f>SUMIFS('boc xe'!V$2:V$27,'boc xe'!$B$2:$B$27,'chia CN boc xe'!$C51)</f>
        <v>0</v>
      </c>
      <c r="F51" s="419">
        <f>SUMIFS('boc xe'!W$2:W$27,'boc xe'!$B$2:$B$27,'chia CN boc xe'!$C51)</f>
        <v>0</v>
      </c>
      <c r="G51" s="419">
        <f>SUMIFS('boc xe'!X$2:X$27,'boc xe'!$B$2:$B$27,'chia CN boc xe'!$C51)</f>
        <v>0</v>
      </c>
      <c r="H51" s="419">
        <f>SUMIFS('boc xe'!Y$2:Y$27,'boc xe'!$B$2:$B$27,'chia CN boc xe'!$C51)</f>
        <v>0</v>
      </c>
      <c r="I51" s="419">
        <f>SUMIFS('boc xe'!Z$2:Z$27,'boc xe'!$B$2:$B$27,'chia CN boc xe'!$C51)</f>
        <v>30</v>
      </c>
      <c r="J51" s="419">
        <f>SUMIFS('boc xe'!AA$2:AA$27,'boc xe'!$B$2:$B$27,'chia CN boc xe'!$C51)</f>
        <v>0</v>
      </c>
      <c r="K51" s="419">
        <f>SUMIFS('boc xe'!AB$2:AB$27,'boc xe'!$B$2:$B$27,'chia CN boc xe'!$C51)</f>
        <v>0</v>
      </c>
      <c r="L51" s="419">
        <f>SUMIFS('boc xe'!AC$2:AC$27,'boc xe'!$B$2:$B$27,'chia CN boc xe'!$C51)</f>
        <v>0</v>
      </c>
      <c r="M51" s="419">
        <f>SUMIFS('boc xe'!AD$2:AD$27,'boc xe'!$B$2:$B$27,'chia CN boc xe'!$C51)</f>
        <v>0</v>
      </c>
      <c r="N51" s="419">
        <f>SUMIFS('boc xe'!AE$2:AE$27,'boc xe'!$B$2:$B$27,'chia CN boc xe'!$C51)</f>
        <v>0</v>
      </c>
      <c r="O51" s="419">
        <f>SUMIFS('boc xe'!AF$2:AF$27,'boc xe'!$B$2:$B$27,'chia CN boc xe'!$C51)</f>
        <v>0</v>
      </c>
      <c r="P51" s="419">
        <f>SUMIFS('boc xe'!AG$2:AG$27,'boc xe'!$B$2:$B$27,'chia CN boc xe'!$C51)</f>
        <v>0</v>
      </c>
      <c r="Q51" s="419">
        <f>SUMIFS('boc xe'!AH$2:AH$27,'boc xe'!$B$2:$B$27,'chia CN boc xe'!$C51)</f>
        <v>0</v>
      </c>
      <c r="R51" s="419">
        <f>SUMIFS('boc xe'!AI$2:AI$27,'boc xe'!$B$2:$B$27,'chia CN boc xe'!$C51)</f>
        <v>0</v>
      </c>
      <c r="S51" s="419">
        <f>SUMIFS('boc xe'!AJ$2:AJ$27,'boc xe'!$B$2:$B$27,'chia CN boc xe'!$C51)</f>
        <v>0</v>
      </c>
      <c r="U51" s="254" t="e">
        <f>'BANG LUONG 1'!#REF!</f>
        <v>#REF!</v>
      </c>
      <c r="V51" s="81">
        <f t="shared" si="17"/>
        <v>0</v>
      </c>
      <c r="W51" s="81">
        <f t="shared" si="18"/>
        <v>0</v>
      </c>
      <c r="X51" s="81">
        <f t="shared" si="19"/>
        <v>0</v>
      </c>
      <c r="Y51" s="81">
        <f t="shared" si="20"/>
        <v>0</v>
      </c>
      <c r="Z51" s="81">
        <f t="shared" si="21"/>
        <v>0</v>
      </c>
      <c r="AA51" s="81">
        <f t="shared" si="22"/>
        <v>0</v>
      </c>
      <c r="AB51" s="81">
        <f t="shared" si="23"/>
        <v>0</v>
      </c>
      <c r="AC51" s="81">
        <f t="shared" si="24"/>
        <v>0</v>
      </c>
      <c r="AD51" s="81">
        <f t="shared" si="25"/>
        <v>0</v>
      </c>
      <c r="AE51" s="81">
        <f t="shared" si="26"/>
        <v>0</v>
      </c>
      <c r="AF51" s="81">
        <f t="shared" si="27"/>
        <v>0</v>
      </c>
      <c r="AG51" s="81">
        <f t="shared" si="28"/>
        <v>0</v>
      </c>
      <c r="AH51" s="81">
        <f t="shared" si="29"/>
        <v>0</v>
      </c>
      <c r="AI51" s="81">
        <f t="shared" si="30"/>
        <v>0</v>
      </c>
      <c r="AJ51" s="81">
        <f t="shared" si="31"/>
        <v>0</v>
      </c>
      <c r="AK51" s="81">
        <f t="shared" si="32"/>
        <v>0</v>
      </c>
    </row>
    <row r="52" spans="1:37" x14ac:dyDescent="0.25">
      <c r="A52" s="421">
        <v>51</v>
      </c>
      <c r="B52" s="543" t="s">
        <v>618</v>
      </c>
      <c r="C52" s="421">
        <v>9</v>
      </c>
      <c r="D52" s="419">
        <f>SUMIFS('boc xe'!U$2:U$27,'boc xe'!$B$2:$B$27,'chia CN boc xe'!$C52)</f>
        <v>0</v>
      </c>
      <c r="E52" s="419">
        <f>SUMIFS('boc xe'!V$2:V$27,'boc xe'!$B$2:$B$27,'chia CN boc xe'!$C52)</f>
        <v>0</v>
      </c>
      <c r="F52" s="419">
        <f>SUMIFS('boc xe'!W$2:W$27,'boc xe'!$B$2:$B$27,'chia CN boc xe'!$C52)</f>
        <v>0</v>
      </c>
      <c r="G52" s="419">
        <f>SUMIFS('boc xe'!X$2:X$27,'boc xe'!$B$2:$B$27,'chia CN boc xe'!$C52)</f>
        <v>0</v>
      </c>
      <c r="H52" s="419">
        <f>SUMIFS('boc xe'!Y$2:Y$27,'boc xe'!$B$2:$B$27,'chia CN boc xe'!$C52)</f>
        <v>0</v>
      </c>
      <c r="I52" s="419">
        <f>SUMIFS('boc xe'!Z$2:Z$27,'boc xe'!$B$2:$B$27,'chia CN boc xe'!$C52)</f>
        <v>30</v>
      </c>
      <c r="J52" s="419">
        <f>SUMIFS('boc xe'!AA$2:AA$27,'boc xe'!$B$2:$B$27,'chia CN boc xe'!$C52)</f>
        <v>0</v>
      </c>
      <c r="K52" s="419">
        <f>SUMIFS('boc xe'!AB$2:AB$27,'boc xe'!$B$2:$B$27,'chia CN boc xe'!$C52)</f>
        <v>0</v>
      </c>
      <c r="L52" s="419">
        <f>SUMIFS('boc xe'!AC$2:AC$27,'boc xe'!$B$2:$B$27,'chia CN boc xe'!$C52)</f>
        <v>0</v>
      </c>
      <c r="M52" s="419">
        <f>SUMIFS('boc xe'!AD$2:AD$27,'boc xe'!$B$2:$B$27,'chia CN boc xe'!$C52)</f>
        <v>0</v>
      </c>
      <c r="N52" s="419">
        <f>SUMIFS('boc xe'!AE$2:AE$27,'boc xe'!$B$2:$B$27,'chia CN boc xe'!$C52)</f>
        <v>0</v>
      </c>
      <c r="O52" s="419">
        <f>SUMIFS('boc xe'!AF$2:AF$27,'boc xe'!$B$2:$B$27,'chia CN boc xe'!$C52)</f>
        <v>0</v>
      </c>
      <c r="P52" s="419">
        <f>SUMIFS('boc xe'!AG$2:AG$27,'boc xe'!$B$2:$B$27,'chia CN boc xe'!$C52)</f>
        <v>0</v>
      </c>
      <c r="Q52" s="419">
        <f>SUMIFS('boc xe'!AH$2:AH$27,'boc xe'!$B$2:$B$27,'chia CN boc xe'!$C52)</f>
        <v>0</v>
      </c>
      <c r="R52" s="419">
        <f>SUMIFS('boc xe'!AI$2:AI$27,'boc xe'!$B$2:$B$27,'chia CN boc xe'!$C52)</f>
        <v>0</v>
      </c>
      <c r="S52" s="419">
        <f>SUMIFS('boc xe'!AJ$2:AJ$27,'boc xe'!$B$2:$B$27,'chia CN boc xe'!$C52)</f>
        <v>0</v>
      </c>
      <c r="U52" s="254" t="e">
        <f>'BANG LUONG 1'!#REF!</f>
        <v>#REF!</v>
      </c>
      <c r="V52" s="81">
        <f t="shared" si="17"/>
        <v>0</v>
      </c>
      <c r="W52" s="81">
        <f t="shared" si="18"/>
        <v>0</v>
      </c>
      <c r="X52" s="81">
        <f t="shared" si="19"/>
        <v>0</v>
      </c>
      <c r="Y52" s="81">
        <f t="shared" si="20"/>
        <v>0</v>
      </c>
      <c r="Z52" s="81">
        <f t="shared" si="21"/>
        <v>0</v>
      </c>
      <c r="AA52" s="81">
        <f t="shared" si="22"/>
        <v>0</v>
      </c>
      <c r="AB52" s="81">
        <f t="shared" si="23"/>
        <v>0</v>
      </c>
      <c r="AC52" s="81">
        <f t="shared" si="24"/>
        <v>0</v>
      </c>
      <c r="AD52" s="81">
        <f t="shared" si="25"/>
        <v>0</v>
      </c>
      <c r="AE52" s="81">
        <f t="shared" si="26"/>
        <v>0</v>
      </c>
      <c r="AF52" s="81">
        <f t="shared" si="27"/>
        <v>0</v>
      </c>
      <c r="AG52" s="81">
        <f t="shared" si="28"/>
        <v>0</v>
      </c>
      <c r="AH52" s="81">
        <f t="shared" si="29"/>
        <v>0</v>
      </c>
      <c r="AI52" s="81">
        <f t="shared" si="30"/>
        <v>0</v>
      </c>
      <c r="AJ52" s="81">
        <f t="shared" si="31"/>
        <v>0</v>
      </c>
      <c r="AK52" s="81">
        <f t="shared" si="32"/>
        <v>0</v>
      </c>
    </row>
    <row r="53" spans="1:37" x14ac:dyDescent="0.25">
      <c r="A53" s="421">
        <v>52</v>
      </c>
      <c r="B53" s="543" t="s">
        <v>620</v>
      </c>
      <c r="C53" s="421">
        <v>9</v>
      </c>
      <c r="D53" s="419">
        <f>SUMIFS('boc xe'!U$2:U$27,'boc xe'!$B$2:$B$27,'chia CN boc xe'!$C53)</f>
        <v>0</v>
      </c>
      <c r="E53" s="419">
        <f>SUMIFS('boc xe'!V$2:V$27,'boc xe'!$B$2:$B$27,'chia CN boc xe'!$C53)</f>
        <v>0</v>
      </c>
      <c r="F53" s="419">
        <f>SUMIFS('boc xe'!W$2:W$27,'boc xe'!$B$2:$B$27,'chia CN boc xe'!$C53)</f>
        <v>0</v>
      </c>
      <c r="G53" s="419">
        <f>SUMIFS('boc xe'!X$2:X$27,'boc xe'!$B$2:$B$27,'chia CN boc xe'!$C53)</f>
        <v>0</v>
      </c>
      <c r="H53" s="419">
        <f>SUMIFS('boc xe'!Y$2:Y$27,'boc xe'!$B$2:$B$27,'chia CN boc xe'!$C53)</f>
        <v>0</v>
      </c>
      <c r="I53" s="419">
        <f>SUMIFS('boc xe'!Z$2:Z$27,'boc xe'!$B$2:$B$27,'chia CN boc xe'!$C53)</f>
        <v>30</v>
      </c>
      <c r="J53" s="419">
        <f>SUMIFS('boc xe'!AA$2:AA$27,'boc xe'!$B$2:$B$27,'chia CN boc xe'!$C53)</f>
        <v>0</v>
      </c>
      <c r="K53" s="419">
        <f>SUMIFS('boc xe'!AB$2:AB$27,'boc xe'!$B$2:$B$27,'chia CN boc xe'!$C53)</f>
        <v>0</v>
      </c>
      <c r="L53" s="419">
        <f>SUMIFS('boc xe'!AC$2:AC$27,'boc xe'!$B$2:$B$27,'chia CN boc xe'!$C53)</f>
        <v>0</v>
      </c>
      <c r="M53" s="419">
        <f>SUMIFS('boc xe'!AD$2:AD$27,'boc xe'!$B$2:$B$27,'chia CN boc xe'!$C53)</f>
        <v>0</v>
      </c>
      <c r="N53" s="419">
        <f>SUMIFS('boc xe'!AE$2:AE$27,'boc xe'!$B$2:$B$27,'chia CN boc xe'!$C53)</f>
        <v>0</v>
      </c>
      <c r="O53" s="419">
        <f>SUMIFS('boc xe'!AF$2:AF$27,'boc xe'!$B$2:$B$27,'chia CN boc xe'!$C53)</f>
        <v>0</v>
      </c>
      <c r="P53" s="419">
        <f>SUMIFS('boc xe'!AG$2:AG$27,'boc xe'!$B$2:$B$27,'chia CN boc xe'!$C53)</f>
        <v>0</v>
      </c>
      <c r="Q53" s="419">
        <f>SUMIFS('boc xe'!AH$2:AH$27,'boc xe'!$B$2:$B$27,'chia CN boc xe'!$C53)</f>
        <v>0</v>
      </c>
      <c r="R53" s="419">
        <f>SUMIFS('boc xe'!AI$2:AI$27,'boc xe'!$B$2:$B$27,'chia CN boc xe'!$C53)</f>
        <v>0</v>
      </c>
      <c r="S53" s="419">
        <f>SUMIFS('boc xe'!AJ$2:AJ$27,'boc xe'!$B$2:$B$27,'chia CN boc xe'!$C53)</f>
        <v>0</v>
      </c>
      <c r="U53" s="543" t="e">
        <f>'BANG LUONG 1'!#REF!</f>
        <v>#REF!</v>
      </c>
      <c r="V53" s="81">
        <f t="shared" si="17"/>
        <v>0</v>
      </c>
      <c r="W53" s="81">
        <f t="shared" si="18"/>
        <v>0</v>
      </c>
      <c r="X53" s="81">
        <f t="shared" si="19"/>
        <v>0</v>
      </c>
      <c r="Y53" s="81">
        <f t="shared" si="20"/>
        <v>0</v>
      </c>
      <c r="Z53" s="81">
        <f t="shared" si="21"/>
        <v>0</v>
      </c>
      <c r="AA53" s="81">
        <f t="shared" si="22"/>
        <v>0</v>
      </c>
      <c r="AB53" s="81">
        <f t="shared" si="23"/>
        <v>0</v>
      </c>
      <c r="AC53" s="81">
        <f t="shared" si="24"/>
        <v>0</v>
      </c>
      <c r="AD53" s="81">
        <f t="shared" si="25"/>
        <v>0</v>
      </c>
      <c r="AE53" s="81">
        <f t="shared" si="26"/>
        <v>0</v>
      </c>
      <c r="AF53" s="81">
        <f t="shared" si="27"/>
        <v>0</v>
      </c>
      <c r="AG53" s="81">
        <f t="shared" si="28"/>
        <v>0</v>
      </c>
      <c r="AH53" s="81">
        <f t="shared" si="29"/>
        <v>0</v>
      </c>
      <c r="AI53" s="81">
        <f t="shared" si="30"/>
        <v>0</v>
      </c>
      <c r="AJ53" s="81">
        <f t="shared" si="31"/>
        <v>0</v>
      </c>
      <c r="AK53" s="81">
        <f t="shared" si="32"/>
        <v>0</v>
      </c>
    </row>
    <row r="54" spans="1:37" x14ac:dyDescent="0.25">
      <c r="A54" s="421">
        <v>53</v>
      </c>
      <c r="B54" s="543" t="s">
        <v>742</v>
      </c>
      <c r="C54" s="421">
        <v>9</v>
      </c>
      <c r="D54" s="419">
        <f>SUMIFS('boc xe'!U$2:U$27,'boc xe'!$B$2:$B$27,'chia CN boc xe'!$C54)</f>
        <v>0</v>
      </c>
      <c r="E54" s="419">
        <f>SUMIFS('boc xe'!V$2:V$27,'boc xe'!$B$2:$B$27,'chia CN boc xe'!$C54)</f>
        <v>0</v>
      </c>
      <c r="F54" s="419">
        <f>SUMIFS('boc xe'!W$2:W$27,'boc xe'!$B$2:$B$27,'chia CN boc xe'!$C54)</f>
        <v>0</v>
      </c>
      <c r="G54" s="419">
        <f>SUMIFS('boc xe'!X$2:X$27,'boc xe'!$B$2:$B$27,'chia CN boc xe'!$C54)</f>
        <v>0</v>
      </c>
      <c r="H54" s="419">
        <f>SUMIFS('boc xe'!Y$2:Y$27,'boc xe'!$B$2:$B$27,'chia CN boc xe'!$C54)</f>
        <v>0</v>
      </c>
      <c r="I54" s="419">
        <f>SUMIFS('boc xe'!Z$2:Z$27,'boc xe'!$B$2:$B$27,'chia CN boc xe'!$C54)</f>
        <v>30</v>
      </c>
      <c r="J54" s="419">
        <f>SUMIFS('boc xe'!AA$2:AA$27,'boc xe'!$B$2:$B$27,'chia CN boc xe'!$C54)</f>
        <v>0</v>
      </c>
      <c r="K54" s="419">
        <f>SUMIFS('boc xe'!AB$2:AB$27,'boc xe'!$B$2:$B$27,'chia CN boc xe'!$C54)</f>
        <v>0</v>
      </c>
      <c r="L54" s="419">
        <f>SUMIFS('boc xe'!AC$2:AC$27,'boc xe'!$B$2:$B$27,'chia CN boc xe'!$C54)</f>
        <v>0</v>
      </c>
      <c r="M54" s="419">
        <f>SUMIFS('boc xe'!AD$2:AD$27,'boc xe'!$B$2:$B$27,'chia CN boc xe'!$C54)</f>
        <v>0</v>
      </c>
      <c r="N54" s="419">
        <f>SUMIFS('boc xe'!AE$2:AE$27,'boc xe'!$B$2:$B$27,'chia CN boc xe'!$C54)</f>
        <v>0</v>
      </c>
      <c r="O54" s="419">
        <f>SUMIFS('boc xe'!AF$2:AF$27,'boc xe'!$B$2:$B$27,'chia CN boc xe'!$C54)</f>
        <v>0</v>
      </c>
      <c r="P54" s="419">
        <f>SUMIFS('boc xe'!AG$2:AG$27,'boc xe'!$B$2:$B$27,'chia CN boc xe'!$C54)</f>
        <v>0</v>
      </c>
      <c r="Q54" s="419">
        <f>SUMIFS('boc xe'!AH$2:AH$27,'boc xe'!$B$2:$B$27,'chia CN boc xe'!$C54)</f>
        <v>0</v>
      </c>
      <c r="R54" s="419">
        <f>SUMIFS('boc xe'!AI$2:AI$27,'boc xe'!$B$2:$B$27,'chia CN boc xe'!$C54)</f>
        <v>0</v>
      </c>
      <c r="S54" s="419">
        <f>SUMIFS('boc xe'!AJ$2:AJ$27,'boc xe'!$B$2:$B$27,'chia CN boc xe'!$C54)</f>
        <v>0</v>
      </c>
      <c r="U54" s="542" t="e">
        <f>'BANG LUONG 1'!#REF!</f>
        <v>#REF!</v>
      </c>
      <c r="V54" s="81">
        <f t="shared" si="17"/>
        <v>0</v>
      </c>
      <c r="W54" s="81">
        <f t="shared" si="18"/>
        <v>0</v>
      </c>
      <c r="X54" s="81">
        <f t="shared" si="19"/>
        <v>0</v>
      </c>
      <c r="Y54" s="81">
        <f t="shared" si="20"/>
        <v>0</v>
      </c>
      <c r="Z54" s="81">
        <f t="shared" si="21"/>
        <v>0</v>
      </c>
      <c r="AA54" s="81">
        <f t="shared" si="22"/>
        <v>0</v>
      </c>
      <c r="AB54" s="81">
        <f t="shared" si="23"/>
        <v>0</v>
      </c>
      <c r="AC54" s="81">
        <f t="shared" si="24"/>
        <v>0</v>
      </c>
      <c r="AD54" s="81">
        <f t="shared" si="25"/>
        <v>0</v>
      </c>
      <c r="AE54" s="81">
        <f t="shared" si="26"/>
        <v>0</v>
      </c>
      <c r="AF54" s="81">
        <f t="shared" si="27"/>
        <v>0</v>
      </c>
      <c r="AG54" s="81">
        <f t="shared" si="28"/>
        <v>0</v>
      </c>
      <c r="AH54" s="81">
        <f t="shared" si="29"/>
        <v>0</v>
      </c>
      <c r="AI54" s="81">
        <f t="shared" si="30"/>
        <v>0</v>
      </c>
      <c r="AJ54" s="81">
        <f t="shared" si="31"/>
        <v>0</v>
      </c>
      <c r="AK54" s="81">
        <f t="shared" si="32"/>
        <v>0</v>
      </c>
    </row>
    <row r="55" spans="1:37" x14ac:dyDescent="0.25">
      <c r="A55" s="421">
        <v>54</v>
      </c>
      <c r="B55" s="543" t="s">
        <v>746</v>
      </c>
      <c r="C55" s="421">
        <v>9</v>
      </c>
      <c r="D55" s="419">
        <f>SUMIFS('boc xe'!U$2:U$27,'boc xe'!$B$2:$B$27,'chia CN boc xe'!$C55)</f>
        <v>0</v>
      </c>
      <c r="E55" s="419">
        <f>SUMIFS('boc xe'!V$2:V$27,'boc xe'!$B$2:$B$27,'chia CN boc xe'!$C55)</f>
        <v>0</v>
      </c>
      <c r="F55" s="419">
        <f>SUMIFS('boc xe'!W$2:W$27,'boc xe'!$B$2:$B$27,'chia CN boc xe'!$C55)</f>
        <v>0</v>
      </c>
      <c r="G55" s="419">
        <f>SUMIFS('boc xe'!X$2:X$27,'boc xe'!$B$2:$B$27,'chia CN boc xe'!$C55)</f>
        <v>0</v>
      </c>
      <c r="H55" s="419">
        <f>SUMIFS('boc xe'!Y$2:Y$27,'boc xe'!$B$2:$B$27,'chia CN boc xe'!$C55)</f>
        <v>0</v>
      </c>
      <c r="I55" s="419">
        <f>SUMIFS('boc xe'!Z$2:Z$27,'boc xe'!$B$2:$B$27,'chia CN boc xe'!$C55)</f>
        <v>30</v>
      </c>
      <c r="J55" s="419">
        <f>SUMIFS('boc xe'!AA$2:AA$27,'boc xe'!$B$2:$B$27,'chia CN boc xe'!$C55)</f>
        <v>0</v>
      </c>
      <c r="K55" s="419">
        <f>SUMIFS('boc xe'!AB$2:AB$27,'boc xe'!$B$2:$B$27,'chia CN boc xe'!$C55)</f>
        <v>0</v>
      </c>
      <c r="L55" s="419">
        <f>SUMIFS('boc xe'!AC$2:AC$27,'boc xe'!$B$2:$B$27,'chia CN boc xe'!$C55)</f>
        <v>0</v>
      </c>
      <c r="M55" s="419">
        <f>SUMIFS('boc xe'!AD$2:AD$27,'boc xe'!$B$2:$B$27,'chia CN boc xe'!$C55)</f>
        <v>0</v>
      </c>
      <c r="N55" s="419">
        <f>SUMIFS('boc xe'!AE$2:AE$27,'boc xe'!$B$2:$B$27,'chia CN boc xe'!$C55)</f>
        <v>0</v>
      </c>
      <c r="O55" s="419">
        <f>SUMIFS('boc xe'!AF$2:AF$27,'boc xe'!$B$2:$B$27,'chia CN boc xe'!$C55)</f>
        <v>0</v>
      </c>
      <c r="P55" s="419">
        <f>SUMIFS('boc xe'!AG$2:AG$27,'boc xe'!$B$2:$B$27,'chia CN boc xe'!$C55)</f>
        <v>0</v>
      </c>
      <c r="Q55" s="419">
        <f>SUMIFS('boc xe'!AH$2:AH$27,'boc xe'!$B$2:$B$27,'chia CN boc xe'!$C55)</f>
        <v>0</v>
      </c>
      <c r="R55" s="419">
        <f>SUMIFS('boc xe'!AI$2:AI$27,'boc xe'!$B$2:$B$27,'chia CN boc xe'!$C55)</f>
        <v>0</v>
      </c>
      <c r="S55" s="419">
        <f>SUMIFS('boc xe'!AJ$2:AJ$27,'boc xe'!$B$2:$B$27,'chia CN boc xe'!$C55)</f>
        <v>0</v>
      </c>
      <c r="U55" s="254" t="str">
        <f>'BANG LUONG 1'!C30</f>
        <v>Trần văn Nguyện</v>
      </c>
      <c r="V55" s="81">
        <f t="shared" si="17"/>
        <v>0</v>
      </c>
      <c r="W55" s="81">
        <f t="shared" si="18"/>
        <v>0</v>
      </c>
      <c r="X55" s="81">
        <f t="shared" si="19"/>
        <v>0</v>
      </c>
      <c r="Y55" s="81">
        <f t="shared" si="20"/>
        <v>0</v>
      </c>
      <c r="Z55" s="81">
        <f t="shared" si="21"/>
        <v>0</v>
      </c>
      <c r="AA55" s="81">
        <f t="shared" si="22"/>
        <v>0</v>
      </c>
      <c r="AB55" s="81">
        <f t="shared" si="23"/>
        <v>0</v>
      </c>
      <c r="AC55" s="81">
        <f t="shared" si="24"/>
        <v>0</v>
      </c>
      <c r="AD55" s="81">
        <f t="shared" si="25"/>
        <v>0</v>
      </c>
      <c r="AE55" s="81">
        <f t="shared" si="26"/>
        <v>0</v>
      </c>
      <c r="AF55" s="81">
        <f t="shared" si="27"/>
        <v>0</v>
      </c>
      <c r="AG55" s="81">
        <f t="shared" si="28"/>
        <v>0</v>
      </c>
      <c r="AH55" s="81">
        <f t="shared" si="29"/>
        <v>0</v>
      </c>
      <c r="AI55" s="81">
        <f t="shared" si="30"/>
        <v>0</v>
      </c>
      <c r="AJ55" s="81">
        <f t="shared" si="31"/>
        <v>0</v>
      </c>
      <c r="AK55" s="81">
        <f t="shared" si="32"/>
        <v>0</v>
      </c>
    </row>
    <row r="56" spans="1:37" x14ac:dyDescent="0.25">
      <c r="A56" s="421">
        <v>55</v>
      </c>
      <c r="B56" s="545" t="s">
        <v>751</v>
      </c>
      <c r="C56" s="421">
        <v>9</v>
      </c>
      <c r="D56" s="419">
        <f>SUMIFS('boc xe'!U$2:U$27,'boc xe'!$B$2:$B$27,'chia CN boc xe'!$C56)</f>
        <v>0</v>
      </c>
      <c r="E56" s="419">
        <f>SUMIFS('boc xe'!V$2:V$27,'boc xe'!$B$2:$B$27,'chia CN boc xe'!$C56)</f>
        <v>0</v>
      </c>
      <c r="F56" s="419">
        <f>SUMIFS('boc xe'!W$2:W$27,'boc xe'!$B$2:$B$27,'chia CN boc xe'!$C56)</f>
        <v>0</v>
      </c>
      <c r="G56" s="419">
        <f>SUMIFS('boc xe'!X$2:X$27,'boc xe'!$B$2:$B$27,'chia CN boc xe'!$C56)</f>
        <v>0</v>
      </c>
      <c r="H56" s="419">
        <f>SUMIFS('boc xe'!Y$2:Y$27,'boc xe'!$B$2:$B$27,'chia CN boc xe'!$C56)</f>
        <v>0</v>
      </c>
      <c r="I56" s="419">
        <f>SUMIFS('boc xe'!Z$2:Z$27,'boc xe'!$B$2:$B$27,'chia CN boc xe'!$C56)</f>
        <v>30</v>
      </c>
      <c r="J56" s="419">
        <f>SUMIFS('boc xe'!AA$2:AA$27,'boc xe'!$B$2:$B$27,'chia CN boc xe'!$C56)</f>
        <v>0</v>
      </c>
      <c r="K56" s="419">
        <f>SUMIFS('boc xe'!AB$2:AB$27,'boc xe'!$B$2:$B$27,'chia CN boc xe'!$C56)</f>
        <v>0</v>
      </c>
      <c r="L56" s="419">
        <f>SUMIFS('boc xe'!AC$2:AC$27,'boc xe'!$B$2:$B$27,'chia CN boc xe'!$C56)</f>
        <v>0</v>
      </c>
      <c r="M56" s="419">
        <f>SUMIFS('boc xe'!AD$2:AD$27,'boc xe'!$B$2:$B$27,'chia CN boc xe'!$C56)</f>
        <v>0</v>
      </c>
      <c r="N56" s="419">
        <f>SUMIFS('boc xe'!AE$2:AE$27,'boc xe'!$B$2:$B$27,'chia CN boc xe'!$C56)</f>
        <v>0</v>
      </c>
      <c r="O56" s="419">
        <f>SUMIFS('boc xe'!AF$2:AF$27,'boc xe'!$B$2:$B$27,'chia CN boc xe'!$C56)</f>
        <v>0</v>
      </c>
      <c r="P56" s="419">
        <f>SUMIFS('boc xe'!AG$2:AG$27,'boc xe'!$B$2:$B$27,'chia CN boc xe'!$C56)</f>
        <v>0</v>
      </c>
      <c r="Q56" s="419">
        <f>SUMIFS('boc xe'!AH$2:AH$27,'boc xe'!$B$2:$B$27,'chia CN boc xe'!$C56)</f>
        <v>0</v>
      </c>
      <c r="R56" s="419">
        <f>SUMIFS('boc xe'!AI$2:AI$27,'boc xe'!$B$2:$B$27,'chia CN boc xe'!$C56)</f>
        <v>0</v>
      </c>
      <c r="S56" s="419">
        <f>SUMIFS('boc xe'!AJ$2:AJ$27,'boc xe'!$B$2:$B$27,'chia CN boc xe'!$C56)</f>
        <v>0</v>
      </c>
      <c r="U56" s="543" t="e">
        <f>'BANG LUONG 1'!#REF!</f>
        <v>#REF!</v>
      </c>
      <c r="V56" s="81">
        <f t="shared" si="17"/>
        <v>0</v>
      </c>
      <c r="W56" s="81">
        <f t="shared" si="18"/>
        <v>0</v>
      </c>
      <c r="X56" s="81">
        <f t="shared" si="19"/>
        <v>0</v>
      </c>
      <c r="Y56" s="81">
        <f t="shared" si="20"/>
        <v>0</v>
      </c>
      <c r="Z56" s="81">
        <f t="shared" si="21"/>
        <v>0</v>
      </c>
      <c r="AA56" s="81">
        <f t="shared" si="22"/>
        <v>0</v>
      </c>
      <c r="AB56" s="81">
        <f t="shared" si="23"/>
        <v>0</v>
      </c>
      <c r="AC56" s="81">
        <f t="shared" si="24"/>
        <v>0</v>
      </c>
      <c r="AD56" s="81">
        <f t="shared" si="25"/>
        <v>0</v>
      </c>
      <c r="AE56" s="81">
        <f t="shared" si="26"/>
        <v>0</v>
      </c>
      <c r="AF56" s="81">
        <f t="shared" si="27"/>
        <v>0</v>
      </c>
      <c r="AG56" s="81">
        <f t="shared" si="28"/>
        <v>0</v>
      </c>
      <c r="AH56" s="81">
        <f t="shared" si="29"/>
        <v>0</v>
      </c>
      <c r="AI56" s="81">
        <f t="shared" si="30"/>
        <v>0</v>
      </c>
      <c r="AJ56" s="81">
        <f t="shared" si="31"/>
        <v>0</v>
      </c>
      <c r="AK56" s="81">
        <f t="shared" si="32"/>
        <v>0</v>
      </c>
    </row>
    <row r="57" spans="1:37" x14ac:dyDescent="0.25">
      <c r="A57" s="421">
        <v>56</v>
      </c>
      <c r="B57" s="545"/>
      <c r="C57" s="421"/>
      <c r="D57" s="419">
        <f>SUMIFS('boc xe'!U$2:U$27,'boc xe'!$B$2:$B$27,'chia CN boc xe'!$C57)</f>
        <v>0</v>
      </c>
      <c r="E57" s="419">
        <f>SUMIFS('boc xe'!V$2:V$27,'boc xe'!$B$2:$B$27,'chia CN boc xe'!$C57)</f>
        <v>0</v>
      </c>
      <c r="F57" s="419">
        <f>SUMIFS('boc xe'!W$2:W$27,'boc xe'!$B$2:$B$27,'chia CN boc xe'!$C57)</f>
        <v>0</v>
      </c>
      <c r="G57" s="419">
        <f>SUMIFS('boc xe'!X$2:X$27,'boc xe'!$B$2:$B$27,'chia CN boc xe'!$C57)</f>
        <v>0</v>
      </c>
      <c r="H57" s="419">
        <f>SUMIFS('boc xe'!Y$2:Y$27,'boc xe'!$B$2:$B$27,'chia CN boc xe'!$C57)</f>
        <v>0</v>
      </c>
      <c r="I57" s="419">
        <f>SUMIFS('boc xe'!Z$2:Z$27,'boc xe'!$B$2:$B$27,'chia CN boc xe'!$C57)</f>
        <v>0</v>
      </c>
      <c r="J57" s="419">
        <f>SUMIFS('boc xe'!AA$2:AA$27,'boc xe'!$B$2:$B$27,'chia CN boc xe'!$C57)</f>
        <v>0</v>
      </c>
      <c r="K57" s="419">
        <f>SUMIFS('boc xe'!AB$2:AB$27,'boc xe'!$B$2:$B$27,'chia CN boc xe'!$C57)</f>
        <v>0</v>
      </c>
      <c r="L57" s="419">
        <f>SUMIFS('boc xe'!AC$2:AC$27,'boc xe'!$B$2:$B$27,'chia CN boc xe'!$C57)</f>
        <v>0</v>
      </c>
      <c r="M57" s="419">
        <f>SUMIFS('boc xe'!AD$2:AD$27,'boc xe'!$B$2:$B$27,'chia CN boc xe'!$C57)</f>
        <v>0</v>
      </c>
      <c r="N57" s="419">
        <f>SUMIFS('boc xe'!AE$2:AE$27,'boc xe'!$B$2:$B$27,'chia CN boc xe'!$C57)</f>
        <v>0</v>
      </c>
      <c r="O57" s="419">
        <f>SUMIFS('boc xe'!AF$2:AF$27,'boc xe'!$B$2:$B$27,'chia CN boc xe'!$C57)</f>
        <v>0</v>
      </c>
      <c r="P57" s="419">
        <f>SUMIFS('boc xe'!AG$2:AG$27,'boc xe'!$B$2:$B$27,'chia CN boc xe'!$C57)</f>
        <v>0</v>
      </c>
      <c r="Q57" s="419">
        <f>SUMIFS('boc xe'!AH$2:AH$27,'boc xe'!$B$2:$B$27,'chia CN boc xe'!$C57)</f>
        <v>0</v>
      </c>
      <c r="R57" s="419">
        <f>SUMIFS('boc xe'!AI$2:AI$27,'boc xe'!$B$2:$B$27,'chia CN boc xe'!$C57)</f>
        <v>0</v>
      </c>
      <c r="S57" s="419">
        <f>SUMIFS('boc xe'!AJ$2:AJ$27,'boc xe'!$B$2:$B$27,'chia CN boc xe'!$C57)</f>
        <v>0</v>
      </c>
      <c r="U57" s="543" t="e">
        <f>'BANG LUONG 1'!#REF!</f>
        <v>#REF!</v>
      </c>
      <c r="V57" s="81">
        <f t="shared" si="17"/>
        <v>0</v>
      </c>
      <c r="W57" s="81">
        <f t="shared" si="18"/>
        <v>0</v>
      </c>
      <c r="X57" s="81">
        <f t="shared" si="19"/>
        <v>0</v>
      </c>
      <c r="Y57" s="81">
        <f t="shared" si="20"/>
        <v>0</v>
      </c>
      <c r="Z57" s="81">
        <f t="shared" si="21"/>
        <v>0</v>
      </c>
      <c r="AA57" s="81">
        <f t="shared" si="22"/>
        <v>0</v>
      </c>
      <c r="AB57" s="81">
        <f t="shared" si="23"/>
        <v>0</v>
      </c>
      <c r="AC57" s="81">
        <f t="shared" si="24"/>
        <v>0</v>
      </c>
      <c r="AD57" s="81">
        <f t="shared" si="25"/>
        <v>0</v>
      </c>
      <c r="AE57" s="81">
        <f t="shared" si="26"/>
        <v>0</v>
      </c>
      <c r="AF57" s="81">
        <f t="shared" si="27"/>
        <v>0</v>
      </c>
      <c r="AG57" s="81">
        <f t="shared" si="28"/>
        <v>0</v>
      </c>
      <c r="AH57" s="81">
        <f t="shared" si="29"/>
        <v>0</v>
      </c>
      <c r="AI57" s="81">
        <f t="shared" si="30"/>
        <v>0</v>
      </c>
      <c r="AJ57" s="81">
        <f t="shared" si="31"/>
        <v>0</v>
      </c>
      <c r="AK57" s="81">
        <f t="shared" si="32"/>
        <v>0</v>
      </c>
    </row>
    <row r="58" spans="1:37" x14ac:dyDescent="0.25">
      <c r="A58" s="421">
        <v>57</v>
      </c>
      <c r="B58" s="542"/>
      <c r="C58" s="421"/>
      <c r="D58" s="419">
        <f>SUMIFS('boc xe'!U$2:U$27,'boc xe'!$B$2:$B$27,'chia CN boc xe'!$C58)</f>
        <v>0</v>
      </c>
      <c r="E58" s="419">
        <f>SUMIFS('boc xe'!V$2:V$27,'boc xe'!$B$2:$B$27,'chia CN boc xe'!$C58)</f>
        <v>0</v>
      </c>
      <c r="F58" s="419">
        <f>SUMIFS('boc xe'!W$2:W$27,'boc xe'!$B$2:$B$27,'chia CN boc xe'!$C58)</f>
        <v>0</v>
      </c>
      <c r="G58" s="419">
        <f>SUMIFS('boc xe'!X$2:X$27,'boc xe'!$B$2:$B$27,'chia CN boc xe'!$C58)</f>
        <v>0</v>
      </c>
      <c r="H58" s="419">
        <f>SUMIFS('boc xe'!Y$2:Y$27,'boc xe'!$B$2:$B$27,'chia CN boc xe'!$C58)</f>
        <v>0</v>
      </c>
      <c r="I58" s="419">
        <f>SUMIFS('boc xe'!Z$2:Z$27,'boc xe'!$B$2:$B$27,'chia CN boc xe'!$C58)</f>
        <v>0</v>
      </c>
      <c r="J58" s="419">
        <f>SUMIFS('boc xe'!AA$2:AA$27,'boc xe'!$B$2:$B$27,'chia CN boc xe'!$C58)</f>
        <v>0</v>
      </c>
      <c r="K58" s="419">
        <f>SUMIFS('boc xe'!AB$2:AB$27,'boc xe'!$B$2:$B$27,'chia CN boc xe'!$C58)</f>
        <v>0</v>
      </c>
      <c r="L58" s="419">
        <f>SUMIFS('boc xe'!AC$2:AC$27,'boc xe'!$B$2:$B$27,'chia CN boc xe'!$C58)</f>
        <v>0</v>
      </c>
      <c r="M58" s="419">
        <f>SUMIFS('boc xe'!AD$2:AD$27,'boc xe'!$B$2:$B$27,'chia CN boc xe'!$C58)</f>
        <v>0</v>
      </c>
      <c r="N58" s="419">
        <f>SUMIFS('boc xe'!AE$2:AE$27,'boc xe'!$B$2:$B$27,'chia CN boc xe'!$C58)</f>
        <v>0</v>
      </c>
      <c r="O58" s="419">
        <f>SUMIFS('boc xe'!AF$2:AF$27,'boc xe'!$B$2:$B$27,'chia CN boc xe'!$C58)</f>
        <v>0</v>
      </c>
      <c r="P58" s="419">
        <f>SUMIFS('boc xe'!AG$2:AG$27,'boc xe'!$B$2:$B$27,'chia CN boc xe'!$C58)</f>
        <v>0</v>
      </c>
      <c r="Q58" s="419">
        <f>SUMIFS('boc xe'!AH$2:AH$27,'boc xe'!$B$2:$B$27,'chia CN boc xe'!$C58)</f>
        <v>0</v>
      </c>
      <c r="R58" s="419">
        <f>SUMIFS('boc xe'!AI$2:AI$27,'boc xe'!$B$2:$B$27,'chia CN boc xe'!$C58)</f>
        <v>0</v>
      </c>
      <c r="S58" s="419">
        <f>SUMIFS('boc xe'!AJ$2:AJ$27,'boc xe'!$B$2:$B$27,'chia CN boc xe'!$C58)</f>
        <v>0</v>
      </c>
      <c r="U58" s="543" t="e">
        <f>'BANG LUONG 1'!#REF!</f>
        <v>#REF!</v>
      </c>
      <c r="V58" s="81">
        <f t="shared" si="17"/>
        <v>0</v>
      </c>
      <c r="W58" s="81">
        <f t="shared" si="18"/>
        <v>0</v>
      </c>
      <c r="X58" s="81">
        <f t="shared" si="19"/>
        <v>0</v>
      </c>
      <c r="Y58" s="81">
        <f t="shared" si="20"/>
        <v>0</v>
      </c>
      <c r="Z58" s="81">
        <f t="shared" si="21"/>
        <v>0</v>
      </c>
      <c r="AA58" s="81">
        <f t="shared" si="22"/>
        <v>0</v>
      </c>
      <c r="AB58" s="81">
        <f t="shared" si="23"/>
        <v>0</v>
      </c>
      <c r="AC58" s="81">
        <f t="shared" si="24"/>
        <v>0</v>
      </c>
      <c r="AD58" s="81">
        <f t="shared" si="25"/>
        <v>0</v>
      </c>
      <c r="AE58" s="81">
        <f t="shared" si="26"/>
        <v>0</v>
      </c>
      <c r="AF58" s="81">
        <f t="shared" si="27"/>
        <v>0</v>
      </c>
      <c r="AG58" s="81">
        <f t="shared" si="28"/>
        <v>0</v>
      </c>
      <c r="AH58" s="81">
        <f t="shared" si="29"/>
        <v>0</v>
      </c>
      <c r="AI58" s="81">
        <f t="shared" si="30"/>
        <v>0</v>
      </c>
      <c r="AJ58" s="81">
        <f t="shared" si="31"/>
        <v>0</v>
      </c>
      <c r="AK58" s="81">
        <f t="shared" si="32"/>
        <v>0</v>
      </c>
    </row>
    <row r="59" spans="1:37" x14ac:dyDescent="0.25">
      <c r="A59" s="421">
        <v>58</v>
      </c>
      <c r="B59" s="542"/>
      <c r="C59" s="421"/>
      <c r="D59" s="419">
        <f>SUMIFS('boc xe'!U$2:U$27,'boc xe'!$B$2:$B$27,'chia CN boc xe'!$C59)</f>
        <v>0</v>
      </c>
      <c r="E59" s="419">
        <f>SUMIFS('boc xe'!V$2:V$27,'boc xe'!$B$2:$B$27,'chia CN boc xe'!$C59)</f>
        <v>0</v>
      </c>
      <c r="F59" s="419">
        <f>SUMIFS('boc xe'!W$2:W$27,'boc xe'!$B$2:$B$27,'chia CN boc xe'!$C59)</f>
        <v>0</v>
      </c>
      <c r="G59" s="419">
        <f>SUMIFS('boc xe'!X$2:X$27,'boc xe'!$B$2:$B$27,'chia CN boc xe'!$C59)</f>
        <v>0</v>
      </c>
      <c r="H59" s="419">
        <f>SUMIFS('boc xe'!Y$2:Y$27,'boc xe'!$B$2:$B$27,'chia CN boc xe'!$C59)</f>
        <v>0</v>
      </c>
      <c r="I59" s="419">
        <f>SUMIFS('boc xe'!Z$2:Z$27,'boc xe'!$B$2:$B$27,'chia CN boc xe'!$C59)</f>
        <v>0</v>
      </c>
      <c r="J59" s="419">
        <f>SUMIFS('boc xe'!AA$2:AA$27,'boc xe'!$B$2:$B$27,'chia CN boc xe'!$C59)</f>
        <v>0</v>
      </c>
      <c r="K59" s="419">
        <f>SUMIFS('boc xe'!AB$2:AB$27,'boc xe'!$B$2:$B$27,'chia CN boc xe'!$C59)</f>
        <v>0</v>
      </c>
      <c r="L59" s="419">
        <f>SUMIFS('boc xe'!AC$2:AC$27,'boc xe'!$B$2:$B$27,'chia CN boc xe'!$C59)</f>
        <v>0</v>
      </c>
      <c r="M59" s="419">
        <f>SUMIFS('boc xe'!AD$2:AD$27,'boc xe'!$B$2:$B$27,'chia CN boc xe'!$C59)</f>
        <v>0</v>
      </c>
      <c r="N59" s="419">
        <f>SUMIFS('boc xe'!AE$2:AE$27,'boc xe'!$B$2:$B$27,'chia CN boc xe'!$C59)</f>
        <v>0</v>
      </c>
      <c r="O59" s="419">
        <f>SUMIFS('boc xe'!AF$2:AF$27,'boc xe'!$B$2:$B$27,'chia CN boc xe'!$C59)</f>
        <v>0</v>
      </c>
      <c r="P59" s="419">
        <f>SUMIFS('boc xe'!AG$2:AG$27,'boc xe'!$B$2:$B$27,'chia CN boc xe'!$C59)</f>
        <v>0</v>
      </c>
      <c r="Q59" s="419">
        <f>SUMIFS('boc xe'!AH$2:AH$27,'boc xe'!$B$2:$B$27,'chia CN boc xe'!$C59)</f>
        <v>0</v>
      </c>
      <c r="R59" s="419">
        <f>SUMIFS('boc xe'!AI$2:AI$27,'boc xe'!$B$2:$B$27,'chia CN boc xe'!$C59)</f>
        <v>0</v>
      </c>
      <c r="S59" s="419">
        <f>SUMIFS('boc xe'!AJ$2:AJ$27,'boc xe'!$B$2:$B$27,'chia CN boc xe'!$C59)</f>
        <v>0</v>
      </c>
      <c r="U59" s="542" t="e">
        <f>'BANG LUONG 1'!#REF!</f>
        <v>#REF!</v>
      </c>
      <c r="V59" s="81">
        <f t="shared" si="17"/>
        <v>0</v>
      </c>
      <c r="W59" s="81">
        <f t="shared" si="18"/>
        <v>0</v>
      </c>
      <c r="X59" s="81">
        <f t="shared" si="19"/>
        <v>0</v>
      </c>
      <c r="Y59" s="81">
        <f t="shared" si="20"/>
        <v>0</v>
      </c>
      <c r="Z59" s="81">
        <f t="shared" si="21"/>
        <v>0</v>
      </c>
      <c r="AA59" s="81">
        <f t="shared" si="22"/>
        <v>0</v>
      </c>
      <c r="AB59" s="81">
        <f t="shared" si="23"/>
        <v>0</v>
      </c>
      <c r="AC59" s="81">
        <f t="shared" si="24"/>
        <v>0</v>
      </c>
      <c r="AD59" s="81">
        <f t="shared" si="25"/>
        <v>0</v>
      </c>
      <c r="AE59" s="81">
        <f t="shared" si="26"/>
        <v>0</v>
      </c>
      <c r="AF59" s="81">
        <f t="shared" si="27"/>
        <v>0</v>
      </c>
      <c r="AG59" s="81">
        <f t="shared" si="28"/>
        <v>0</v>
      </c>
      <c r="AH59" s="81">
        <f t="shared" si="29"/>
        <v>0</v>
      </c>
      <c r="AI59" s="81">
        <f t="shared" si="30"/>
        <v>0</v>
      </c>
      <c r="AJ59" s="81">
        <f t="shared" si="31"/>
        <v>0</v>
      </c>
      <c r="AK59" s="81">
        <f t="shared" si="32"/>
        <v>0</v>
      </c>
    </row>
    <row r="60" spans="1:37" x14ac:dyDescent="0.25">
      <c r="A60" s="421">
        <f>A59+1</f>
        <v>59</v>
      </c>
      <c r="B60" s="542"/>
      <c r="C60" s="421"/>
      <c r="D60" s="419">
        <f>SUMIFS('boc xe'!U$2:U$27,'boc xe'!$B$2:$B$27,'chia CN boc xe'!$C60)</f>
        <v>0</v>
      </c>
      <c r="E60" s="419">
        <f>SUMIFS('boc xe'!V$2:V$27,'boc xe'!$B$2:$B$27,'chia CN boc xe'!$C60)</f>
        <v>0</v>
      </c>
      <c r="F60" s="419">
        <f>SUMIFS('boc xe'!W$2:W$27,'boc xe'!$B$2:$B$27,'chia CN boc xe'!$C60)</f>
        <v>0</v>
      </c>
      <c r="G60" s="419">
        <f>SUMIFS('boc xe'!X$2:X$27,'boc xe'!$B$2:$B$27,'chia CN boc xe'!$C60)</f>
        <v>0</v>
      </c>
      <c r="H60" s="419">
        <f>SUMIFS('boc xe'!Y$2:Y$27,'boc xe'!$B$2:$B$27,'chia CN boc xe'!$C60)</f>
        <v>0</v>
      </c>
      <c r="I60" s="419">
        <f>SUMIFS('boc xe'!Z$2:Z$27,'boc xe'!$B$2:$B$27,'chia CN boc xe'!$C60)</f>
        <v>0</v>
      </c>
      <c r="J60" s="419">
        <f>SUMIFS('boc xe'!AA$2:AA$27,'boc xe'!$B$2:$B$27,'chia CN boc xe'!$C60)</f>
        <v>0</v>
      </c>
      <c r="K60" s="419">
        <f>SUMIFS('boc xe'!AB$2:AB$27,'boc xe'!$B$2:$B$27,'chia CN boc xe'!$C60)</f>
        <v>0</v>
      </c>
      <c r="L60" s="419">
        <f>SUMIFS('boc xe'!AC$2:AC$27,'boc xe'!$B$2:$B$27,'chia CN boc xe'!$C60)</f>
        <v>0</v>
      </c>
      <c r="M60" s="419">
        <f>SUMIFS('boc xe'!AD$2:AD$27,'boc xe'!$B$2:$B$27,'chia CN boc xe'!$C60)</f>
        <v>0</v>
      </c>
      <c r="N60" s="419">
        <f>SUMIFS('boc xe'!AE$2:AE$27,'boc xe'!$B$2:$B$27,'chia CN boc xe'!$C60)</f>
        <v>0</v>
      </c>
      <c r="O60" s="419">
        <f>SUMIFS('boc xe'!AF$2:AF$27,'boc xe'!$B$2:$B$27,'chia CN boc xe'!$C60)</f>
        <v>0</v>
      </c>
      <c r="P60" s="419">
        <f>SUMIFS('boc xe'!AG$2:AG$27,'boc xe'!$B$2:$B$27,'chia CN boc xe'!$C60)</f>
        <v>0</v>
      </c>
      <c r="Q60" s="419">
        <f>SUMIFS('boc xe'!AH$2:AH$27,'boc xe'!$B$2:$B$27,'chia CN boc xe'!$C60)</f>
        <v>0</v>
      </c>
      <c r="R60" s="419">
        <f>SUMIFS('boc xe'!AI$2:AI$27,'boc xe'!$B$2:$B$27,'chia CN boc xe'!$C60)</f>
        <v>0</v>
      </c>
      <c r="S60" s="419">
        <f>SUMIFS('boc xe'!AJ$2:AJ$27,'boc xe'!$B$2:$B$27,'chia CN boc xe'!$C60)</f>
        <v>0</v>
      </c>
      <c r="U60" s="254" t="e">
        <f>'BANG LUONG 1'!#REF!</f>
        <v>#REF!</v>
      </c>
      <c r="V60" s="81">
        <f t="shared" si="17"/>
        <v>0</v>
      </c>
      <c r="W60" s="81">
        <f t="shared" si="18"/>
        <v>0</v>
      </c>
      <c r="X60" s="81">
        <f t="shared" si="19"/>
        <v>0</v>
      </c>
      <c r="Y60" s="81">
        <f t="shared" si="20"/>
        <v>0</v>
      </c>
      <c r="Z60" s="81">
        <f t="shared" si="21"/>
        <v>0</v>
      </c>
      <c r="AA60" s="81">
        <f t="shared" si="22"/>
        <v>0</v>
      </c>
      <c r="AB60" s="81">
        <f t="shared" si="23"/>
        <v>0</v>
      </c>
      <c r="AC60" s="81">
        <f t="shared" si="24"/>
        <v>0</v>
      </c>
      <c r="AD60" s="81">
        <f t="shared" si="25"/>
        <v>0</v>
      </c>
      <c r="AE60" s="81">
        <f t="shared" si="26"/>
        <v>0</v>
      </c>
      <c r="AF60" s="81">
        <f t="shared" si="27"/>
        <v>0</v>
      </c>
      <c r="AG60" s="81">
        <f t="shared" si="28"/>
        <v>0</v>
      </c>
      <c r="AH60" s="81">
        <f t="shared" si="29"/>
        <v>0</v>
      </c>
      <c r="AI60" s="81">
        <f t="shared" si="30"/>
        <v>0</v>
      </c>
      <c r="AJ60" s="81">
        <f t="shared" si="31"/>
        <v>0</v>
      </c>
      <c r="AK60" s="81">
        <f t="shared" si="32"/>
        <v>0</v>
      </c>
    </row>
    <row r="61" spans="1:37" x14ac:dyDescent="0.25">
      <c r="A61" s="421">
        <f t="shared" ref="A61:A122" si="33">A60+1</f>
        <v>60</v>
      </c>
      <c r="B61" s="542"/>
      <c r="C61" s="421"/>
      <c r="D61" s="419">
        <f>SUMIFS('boc xe'!U$2:U$27,'boc xe'!$B$2:$B$27,'chia CN boc xe'!$C61)</f>
        <v>0</v>
      </c>
      <c r="E61" s="419">
        <f>SUMIFS('boc xe'!V$2:V$27,'boc xe'!$B$2:$B$27,'chia CN boc xe'!$C61)</f>
        <v>0</v>
      </c>
      <c r="F61" s="419">
        <f>SUMIFS('boc xe'!W$2:W$27,'boc xe'!$B$2:$B$27,'chia CN boc xe'!$C61)</f>
        <v>0</v>
      </c>
      <c r="G61" s="419">
        <f>SUMIFS('boc xe'!X$2:X$27,'boc xe'!$B$2:$B$27,'chia CN boc xe'!$C61)</f>
        <v>0</v>
      </c>
      <c r="H61" s="419">
        <f>SUMIFS('boc xe'!Y$2:Y$27,'boc xe'!$B$2:$B$27,'chia CN boc xe'!$C61)</f>
        <v>0</v>
      </c>
      <c r="I61" s="419">
        <f>SUMIFS('boc xe'!Z$2:Z$27,'boc xe'!$B$2:$B$27,'chia CN boc xe'!$C61)</f>
        <v>0</v>
      </c>
      <c r="J61" s="419">
        <f>SUMIFS('boc xe'!AA$2:AA$27,'boc xe'!$B$2:$B$27,'chia CN boc xe'!$C61)</f>
        <v>0</v>
      </c>
      <c r="K61" s="419">
        <f>SUMIFS('boc xe'!AB$2:AB$27,'boc xe'!$B$2:$B$27,'chia CN boc xe'!$C61)</f>
        <v>0</v>
      </c>
      <c r="L61" s="419">
        <f>SUMIFS('boc xe'!AC$2:AC$27,'boc xe'!$B$2:$B$27,'chia CN boc xe'!$C61)</f>
        <v>0</v>
      </c>
      <c r="M61" s="419">
        <f>SUMIFS('boc xe'!AD$2:AD$27,'boc xe'!$B$2:$B$27,'chia CN boc xe'!$C61)</f>
        <v>0</v>
      </c>
      <c r="N61" s="419">
        <f>SUMIFS('boc xe'!AE$2:AE$27,'boc xe'!$B$2:$B$27,'chia CN boc xe'!$C61)</f>
        <v>0</v>
      </c>
      <c r="O61" s="419">
        <f>SUMIFS('boc xe'!AF$2:AF$27,'boc xe'!$B$2:$B$27,'chia CN boc xe'!$C61)</f>
        <v>0</v>
      </c>
      <c r="P61" s="419">
        <f>SUMIFS('boc xe'!AG$2:AG$27,'boc xe'!$B$2:$B$27,'chia CN boc xe'!$C61)</f>
        <v>0</v>
      </c>
      <c r="Q61" s="419">
        <f>SUMIFS('boc xe'!AH$2:AH$27,'boc xe'!$B$2:$B$27,'chia CN boc xe'!$C61)</f>
        <v>0</v>
      </c>
      <c r="R61" s="419">
        <f>SUMIFS('boc xe'!AI$2:AI$27,'boc xe'!$B$2:$B$27,'chia CN boc xe'!$C61)</f>
        <v>0</v>
      </c>
      <c r="S61" s="419">
        <f>SUMIFS('boc xe'!AJ$2:AJ$27,'boc xe'!$B$2:$B$27,'chia CN boc xe'!$C61)</f>
        <v>0</v>
      </c>
      <c r="U61" s="542" t="e">
        <f>'BANG LUONG 1'!#REF!</f>
        <v>#REF!</v>
      </c>
      <c r="V61" s="81">
        <f t="shared" si="17"/>
        <v>0</v>
      </c>
      <c r="W61" s="81">
        <f t="shared" si="18"/>
        <v>0</v>
      </c>
      <c r="X61" s="81">
        <f t="shared" si="19"/>
        <v>0</v>
      </c>
      <c r="Y61" s="81">
        <f t="shared" si="20"/>
        <v>0</v>
      </c>
      <c r="Z61" s="81">
        <f t="shared" si="21"/>
        <v>0</v>
      </c>
      <c r="AA61" s="81">
        <f t="shared" si="22"/>
        <v>0</v>
      </c>
      <c r="AB61" s="81">
        <f t="shared" si="23"/>
        <v>0</v>
      </c>
      <c r="AC61" s="81">
        <f t="shared" si="24"/>
        <v>0</v>
      </c>
      <c r="AD61" s="81">
        <f t="shared" si="25"/>
        <v>0</v>
      </c>
      <c r="AE61" s="81">
        <f t="shared" si="26"/>
        <v>0</v>
      </c>
      <c r="AF61" s="81">
        <f t="shared" si="27"/>
        <v>0</v>
      </c>
      <c r="AG61" s="81">
        <f t="shared" si="28"/>
        <v>0</v>
      </c>
      <c r="AH61" s="81">
        <f t="shared" si="29"/>
        <v>0</v>
      </c>
      <c r="AI61" s="81">
        <f t="shared" si="30"/>
        <v>0</v>
      </c>
      <c r="AJ61" s="81">
        <f t="shared" si="31"/>
        <v>0</v>
      </c>
      <c r="AK61" s="81">
        <f t="shared" si="32"/>
        <v>0</v>
      </c>
    </row>
    <row r="62" spans="1:37" ht="15.75" customHeight="1" x14ac:dyDescent="0.25">
      <c r="A62" s="421">
        <f t="shared" si="33"/>
        <v>61</v>
      </c>
      <c r="B62" s="542"/>
      <c r="C62" s="421"/>
      <c r="D62" s="419">
        <f>SUMIFS('boc xe'!U$2:U$27,'boc xe'!$B$2:$B$27,'chia CN boc xe'!$C62)</f>
        <v>0</v>
      </c>
      <c r="E62" s="419">
        <f>SUMIFS('boc xe'!V$2:V$27,'boc xe'!$B$2:$B$27,'chia CN boc xe'!$C62)</f>
        <v>0</v>
      </c>
      <c r="F62" s="419">
        <f>SUMIFS('boc xe'!W$2:W$27,'boc xe'!$B$2:$B$27,'chia CN boc xe'!$C62)</f>
        <v>0</v>
      </c>
      <c r="G62" s="419">
        <f>SUMIFS('boc xe'!X$2:X$27,'boc xe'!$B$2:$B$27,'chia CN boc xe'!$C62)</f>
        <v>0</v>
      </c>
      <c r="H62" s="419">
        <f>SUMIFS('boc xe'!Y$2:Y$27,'boc xe'!$B$2:$B$27,'chia CN boc xe'!$C62)</f>
        <v>0</v>
      </c>
      <c r="I62" s="419">
        <f>SUMIFS('boc xe'!Z$2:Z$27,'boc xe'!$B$2:$B$27,'chia CN boc xe'!$C62)</f>
        <v>0</v>
      </c>
      <c r="J62" s="419">
        <f>SUMIFS('boc xe'!AA$2:AA$27,'boc xe'!$B$2:$B$27,'chia CN boc xe'!$C62)</f>
        <v>0</v>
      </c>
      <c r="K62" s="419">
        <f>SUMIFS('boc xe'!AB$2:AB$27,'boc xe'!$B$2:$B$27,'chia CN boc xe'!$C62)</f>
        <v>0</v>
      </c>
      <c r="L62" s="419">
        <f>SUMIFS('boc xe'!AC$2:AC$27,'boc xe'!$B$2:$B$27,'chia CN boc xe'!$C62)</f>
        <v>0</v>
      </c>
      <c r="M62" s="419">
        <f>SUMIFS('boc xe'!AD$2:AD$27,'boc xe'!$B$2:$B$27,'chia CN boc xe'!$C62)</f>
        <v>0</v>
      </c>
      <c r="N62" s="419">
        <f>SUMIFS('boc xe'!AE$2:AE$27,'boc xe'!$B$2:$B$27,'chia CN boc xe'!$C62)</f>
        <v>0</v>
      </c>
      <c r="O62" s="419">
        <f>SUMIFS('boc xe'!AF$2:AF$27,'boc xe'!$B$2:$B$27,'chia CN boc xe'!$C62)</f>
        <v>0</v>
      </c>
      <c r="P62" s="419">
        <f>SUMIFS('boc xe'!AG$2:AG$27,'boc xe'!$B$2:$B$27,'chia CN boc xe'!$C62)</f>
        <v>0</v>
      </c>
      <c r="Q62" s="419">
        <f>SUMIFS('boc xe'!AH$2:AH$27,'boc xe'!$B$2:$B$27,'chia CN boc xe'!$C62)</f>
        <v>0</v>
      </c>
      <c r="R62" s="419">
        <f>SUMIFS('boc xe'!AI$2:AI$27,'boc xe'!$B$2:$B$27,'chia CN boc xe'!$C62)</f>
        <v>0</v>
      </c>
      <c r="S62" s="419">
        <f>SUMIFS('boc xe'!AJ$2:AJ$27,'boc xe'!$B$2:$B$27,'chia CN boc xe'!$C62)</f>
        <v>0</v>
      </c>
      <c r="U62" s="542" t="e">
        <f>'BANG LUONG 1'!#REF!</f>
        <v>#REF!</v>
      </c>
      <c r="V62" s="81">
        <f t="shared" si="17"/>
        <v>0</v>
      </c>
      <c r="W62" s="81">
        <f t="shared" si="18"/>
        <v>0</v>
      </c>
      <c r="X62" s="81">
        <f t="shared" si="19"/>
        <v>0</v>
      </c>
      <c r="Y62" s="81">
        <f t="shared" si="20"/>
        <v>0</v>
      </c>
      <c r="Z62" s="81">
        <f t="shared" si="21"/>
        <v>0</v>
      </c>
      <c r="AA62" s="81">
        <f t="shared" si="22"/>
        <v>0</v>
      </c>
      <c r="AB62" s="81">
        <f t="shared" si="23"/>
        <v>0</v>
      </c>
      <c r="AC62" s="81">
        <f t="shared" si="24"/>
        <v>0</v>
      </c>
      <c r="AD62" s="81">
        <f t="shared" si="25"/>
        <v>0</v>
      </c>
      <c r="AE62" s="81">
        <f t="shared" si="26"/>
        <v>0</v>
      </c>
      <c r="AF62" s="81">
        <f t="shared" si="27"/>
        <v>0</v>
      </c>
      <c r="AG62" s="81">
        <f t="shared" si="28"/>
        <v>0</v>
      </c>
      <c r="AH62" s="81">
        <f t="shared" si="29"/>
        <v>0</v>
      </c>
      <c r="AI62" s="81">
        <f t="shared" si="30"/>
        <v>0</v>
      </c>
      <c r="AJ62" s="81">
        <f t="shared" si="31"/>
        <v>0</v>
      </c>
      <c r="AK62" s="81">
        <f t="shared" si="32"/>
        <v>0</v>
      </c>
    </row>
    <row r="63" spans="1:37" ht="15.75" customHeight="1" x14ac:dyDescent="0.25">
      <c r="A63" s="421">
        <f t="shared" si="33"/>
        <v>62</v>
      </c>
      <c r="B63" s="542"/>
      <c r="C63" s="421"/>
      <c r="D63" s="419">
        <f>SUMIFS('boc xe'!U$2:U$27,'boc xe'!$B$2:$B$27,'chia CN boc xe'!$C63)</f>
        <v>0</v>
      </c>
      <c r="E63" s="419">
        <f>SUMIFS('boc xe'!V$2:V$27,'boc xe'!$B$2:$B$27,'chia CN boc xe'!$C63)</f>
        <v>0</v>
      </c>
      <c r="F63" s="419">
        <f>SUMIFS('boc xe'!W$2:W$27,'boc xe'!$B$2:$B$27,'chia CN boc xe'!$C63)</f>
        <v>0</v>
      </c>
      <c r="G63" s="419">
        <f>SUMIFS('boc xe'!X$2:X$27,'boc xe'!$B$2:$B$27,'chia CN boc xe'!$C63)</f>
        <v>0</v>
      </c>
      <c r="H63" s="419">
        <f>SUMIFS('boc xe'!Y$2:Y$27,'boc xe'!$B$2:$B$27,'chia CN boc xe'!$C63)</f>
        <v>0</v>
      </c>
      <c r="I63" s="419">
        <f>SUMIFS('boc xe'!Z$2:Z$27,'boc xe'!$B$2:$B$27,'chia CN boc xe'!$C63)</f>
        <v>0</v>
      </c>
      <c r="J63" s="419">
        <f>SUMIFS('boc xe'!AA$2:AA$27,'boc xe'!$B$2:$B$27,'chia CN boc xe'!$C63)</f>
        <v>0</v>
      </c>
      <c r="K63" s="419">
        <f>SUMIFS('boc xe'!AB$2:AB$27,'boc xe'!$B$2:$B$27,'chia CN boc xe'!$C63)</f>
        <v>0</v>
      </c>
      <c r="L63" s="419">
        <f>SUMIFS('boc xe'!AC$2:AC$27,'boc xe'!$B$2:$B$27,'chia CN boc xe'!$C63)</f>
        <v>0</v>
      </c>
      <c r="M63" s="419">
        <f>SUMIFS('boc xe'!AD$2:AD$27,'boc xe'!$B$2:$B$27,'chia CN boc xe'!$C63)</f>
        <v>0</v>
      </c>
      <c r="N63" s="419">
        <f>SUMIFS('boc xe'!AE$2:AE$27,'boc xe'!$B$2:$B$27,'chia CN boc xe'!$C63)</f>
        <v>0</v>
      </c>
      <c r="O63" s="419">
        <f>SUMIFS('boc xe'!AF$2:AF$27,'boc xe'!$B$2:$B$27,'chia CN boc xe'!$C63)</f>
        <v>0</v>
      </c>
      <c r="P63" s="419">
        <f>SUMIFS('boc xe'!AG$2:AG$27,'boc xe'!$B$2:$B$27,'chia CN boc xe'!$C63)</f>
        <v>0</v>
      </c>
      <c r="Q63" s="419">
        <f>SUMIFS('boc xe'!AH$2:AH$27,'boc xe'!$B$2:$B$27,'chia CN boc xe'!$C63)</f>
        <v>0</v>
      </c>
      <c r="R63" s="419">
        <f>SUMIFS('boc xe'!AI$2:AI$27,'boc xe'!$B$2:$B$27,'chia CN boc xe'!$C63)</f>
        <v>0</v>
      </c>
      <c r="S63" s="419">
        <f>SUMIFS('boc xe'!AJ$2:AJ$27,'boc xe'!$B$2:$B$27,'chia CN boc xe'!$C63)</f>
        <v>0</v>
      </c>
      <c r="U63" s="542" t="e">
        <f>'BANG LUONG 1'!#REF!</f>
        <v>#REF!</v>
      </c>
      <c r="V63" s="81">
        <f t="shared" si="17"/>
        <v>0</v>
      </c>
      <c r="W63" s="81">
        <f t="shared" si="18"/>
        <v>0</v>
      </c>
      <c r="X63" s="81">
        <f t="shared" si="19"/>
        <v>0</v>
      </c>
      <c r="Y63" s="81">
        <f t="shared" si="20"/>
        <v>0</v>
      </c>
      <c r="Z63" s="81">
        <f t="shared" si="21"/>
        <v>0</v>
      </c>
      <c r="AA63" s="81">
        <f t="shared" si="22"/>
        <v>0</v>
      </c>
      <c r="AB63" s="81">
        <f t="shared" si="23"/>
        <v>0</v>
      </c>
      <c r="AC63" s="81">
        <f t="shared" si="24"/>
        <v>0</v>
      </c>
      <c r="AD63" s="81">
        <f t="shared" si="25"/>
        <v>0</v>
      </c>
      <c r="AE63" s="81">
        <f t="shared" si="26"/>
        <v>0</v>
      </c>
      <c r="AF63" s="81">
        <f t="shared" si="27"/>
        <v>0</v>
      </c>
      <c r="AG63" s="81">
        <f t="shared" si="28"/>
        <v>0</v>
      </c>
      <c r="AH63" s="81">
        <f t="shared" si="29"/>
        <v>0</v>
      </c>
      <c r="AI63" s="81">
        <f t="shared" si="30"/>
        <v>0</v>
      </c>
      <c r="AJ63" s="81">
        <f t="shared" si="31"/>
        <v>0</v>
      </c>
      <c r="AK63" s="81">
        <f t="shared" si="32"/>
        <v>0</v>
      </c>
    </row>
    <row r="64" spans="1:37" ht="15.75" customHeight="1" x14ac:dyDescent="0.25">
      <c r="A64" s="421">
        <f t="shared" si="33"/>
        <v>63</v>
      </c>
      <c r="B64" s="542"/>
      <c r="C64" s="421"/>
      <c r="D64" s="419">
        <f>SUMIFS('boc xe'!U$2:U$27,'boc xe'!$B$2:$B$27,'chia CN boc xe'!$C64)</f>
        <v>0</v>
      </c>
      <c r="E64" s="419">
        <f>SUMIFS('boc xe'!V$2:V$27,'boc xe'!$B$2:$B$27,'chia CN boc xe'!$C64)</f>
        <v>0</v>
      </c>
      <c r="F64" s="419">
        <f>SUMIFS('boc xe'!W$2:W$27,'boc xe'!$B$2:$B$27,'chia CN boc xe'!$C64)</f>
        <v>0</v>
      </c>
      <c r="G64" s="419">
        <f>SUMIFS('boc xe'!X$2:X$27,'boc xe'!$B$2:$B$27,'chia CN boc xe'!$C64)</f>
        <v>0</v>
      </c>
      <c r="H64" s="419">
        <f>SUMIFS('boc xe'!Y$2:Y$27,'boc xe'!$B$2:$B$27,'chia CN boc xe'!$C64)</f>
        <v>0</v>
      </c>
      <c r="I64" s="419">
        <f>SUMIFS('boc xe'!Z$2:Z$27,'boc xe'!$B$2:$B$27,'chia CN boc xe'!$C64)</f>
        <v>0</v>
      </c>
      <c r="J64" s="419">
        <f>SUMIFS('boc xe'!AA$2:AA$27,'boc xe'!$B$2:$B$27,'chia CN boc xe'!$C64)</f>
        <v>0</v>
      </c>
      <c r="K64" s="419">
        <f>SUMIFS('boc xe'!AB$2:AB$27,'boc xe'!$B$2:$B$27,'chia CN boc xe'!$C64)</f>
        <v>0</v>
      </c>
      <c r="L64" s="419">
        <f>SUMIFS('boc xe'!AC$2:AC$27,'boc xe'!$B$2:$B$27,'chia CN boc xe'!$C64)</f>
        <v>0</v>
      </c>
      <c r="M64" s="419">
        <f>SUMIFS('boc xe'!AD$2:AD$27,'boc xe'!$B$2:$B$27,'chia CN boc xe'!$C64)</f>
        <v>0</v>
      </c>
      <c r="N64" s="419">
        <f>SUMIFS('boc xe'!AE$2:AE$27,'boc xe'!$B$2:$B$27,'chia CN boc xe'!$C64)</f>
        <v>0</v>
      </c>
      <c r="O64" s="419">
        <f>SUMIFS('boc xe'!AF$2:AF$27,'boc xe'!$B$2:$B$27,'chia CN boc xe'!$C64)</f>
        <v>0</v>
      </c>
      <c r="P64" s="419">
        <f>SUMIFS('boc xe'!AG$2:AG$27,'boc xe'!$B$2:$B$27,'chia CN boc xe'!$C64)</f>
        <v>0</v>
      </c>
      <c r="Q64" s="419">
        <f>SUMIFS('boc xe'!AH$2:AH$27,'boc xe'!$B$2:$B$27,'chia CN boc xe'!$C64)</f>
        <v>0</v>
      </c>
      <c r="R64" s="419">
        <f>SUMIFS('boc xe'!AI$2:AI$27,'boc xe'!$B$2:$B$27,'chia CN boc xe'!$C64)</f>
        <v>0</v>
      </c>
      <c r="S64" s="419">
        <f>SUMIFS('boc xe'!AJ$2:AJ$27,'boc xe'!$B$2:$B$27,'chia CN boc xe'!$C64)</f>
        <v>0</v>
      </c>
      <c r="U64" s="543" t="e">
        <f>'BANG LUONG 1'!#REF!</f>
        <v>#REF!</v>
      </c>
      <c r="V64" s="81">
        <f t="shared" si="17"/>
        <v>0</v>
      </c>
      <c r="W64" s="81">
        <f t="shared" si="18"/>
        <v>0</v>
      </c>
      <c r="X64" s="81">
        <f t="shared" si="19"/>
        <v>0</v>
      </c>
      <c r="Y64" s="81">
        <f t="shared" si="20"/>
        <v>0</v>
      </c>
      <c r="Z64" s="81">
        <f t="shared" si="21"/>
        <v>0</v>
      </c>
      <c r="AA64" s="81">
        <f t="shared" si="22"/>
        <v>0</v>
      </c>
      <c r="AB64" s="81">
        <f t="shared" si="23"/>
        <v>0</v>
      </c>
      <c r="AC64" s="81">
        <f t="shared" si="24"/>
        <v>0</v>
      </c>
      <c r="AD64" s="81">
        <f t="shared" si="25"/>
        <v>0</v>
      </c>
      <c r="AE64" s="81">
        <f t="shared" si="26"/>
        <v>0</v>
      </c>
      <c r="AF64" s="81">
        <f t="shared" si="27"/>
        <v>0</v>
      </c>
      <c r="AG64" s="81">
        <f t="shared" si="28"/>
        <v>0</v>
      </c>
      <c r="AH64" s="81">
        <f t="shared" si="29"/>
        <v>0</v>
      </c>
      <c r="AI64" s="81">
        <f t="shared" si="30"/>
        <v>0</v>
      </c>
      <c r="AJ64" s="81">
        <f t="shared" si="31"/>
        <v>0</v>
      </c>
      <c r="AK64" s="81">
        <f t="shared" si="32"/>
        <v>0</v>
      </c>
    </row>
    <row r="65" spans="1:37" ht="15.75" customHeight="1" x14ac:dyDescent="0.25">
      <c r="A65" s="421">
        <f t="shared" si="33"/>
        <v>64</v>
      </c>
      <c r="B65" s="542"/>
      <c r="C65" s="421"/>
      <c r="D65" s="419">
        <f>SUMIFS('boc xe'!U$2:U$27,'boc xe'!$B$2:$B$27,'chia CN boc xe'!$C65)</f>
        <v>0</v>
      </c>
      <c r="E65" s="419">
        <f>SUMIFS('boc xe'!V$2:V$27,'boc xe'!$B$2:$B$27,'chia CN boc xe'!$C65)</f>
        <v>0</v>
      </c>
      <c r="F65" s="419">
        <f>SUMIFS('boc xe'!W$2:W$27,'boc xe'!$B$2:$B$27,'chia CN boc xe'!$C65)</f>
        <v>0</v>
      </c>
      <c r="G65" s="419">
        <f>SUMIFS('boc xe'!X$2:X$27,'boc xe'!$B$2:$B$27,'chia CN boc xe'!$C65)</f>
        <v>0</v>
      </c>
      <c r="H65" s="419">
        <f>SUMIFS('boc xe'!Y$2:Y$27,'boc xe'!$B$2:$B$27,'chia CN boc xe'!$C65)</f>
        <v>0</v>
      </c>
      <c r="I65" s="419">
        <f>SUMIFS('boc xe'!Z$2:Z$27,'boc xe'!$B$2:$B$27,'chia CN boc xe'!$C65)</f>
        <v>0</v>
      </c>
      <c r="J65" s="419">
        <f>SUMIFS('boc xe'!AA$2:AA$27,'boc xe'!$B$2:$B$27,'chia CN boc xe'!$C65)</f>
        <v>0</v>
      </c>
      <c r="K65" s="419">
        <f>SUMIFS('boc xe'!AB$2:AB$27,'boc xe'!$B$2:$B$27,'chia CN boc xe'!$C65)</f>
        <v>0</v>
      </c>
      <c r="L65" s="419">
        <f>SUMIFS('boc xe'!AC$2:AC$27,'boc xe'!$B$2:$B$27,'chia CN boc xe'!$C65)</f>
        <v>0</v>
      </c>
      <c r="M65" s="419">
        <f>SUMIFS('boc xe'!AD$2:AD$27,'boc xe'!$B$2:$B$27,'chia CN boc xe'!$C65)</f>
        <v>0</v>
      </c>
      <c r="N65" s="419">
        <f>SUMIFS('boc xe'!AE$2:AE$27,'boc xe'!$B$2:$B$27,'chia CN boc xe'!$C65)</f>
        <v>0</v>
      </c>
      <c r="O65" s="419">
        <f>SUMIFS('boc xe'!AF$2:AF$27,'boc xe'!$B$2:$B$27,'chia CN boc xe'!$C65)</f>
        <v>0</v>
      </c>
      <c r="P65" s="419">
        <f>SUMIFS('boc xe'!AG$2:AG$27,'boc xe'!$B$2:$B$27,'chia CN boc xe'!$C65)</f>
        <v>0</v>
      </c>
      <c r="Q65" s="419">
        <f>SUMIFS('boc xe'!AH$2:AH$27,'boc xe'!$B$2:$B$27,'chia CN boc xe'!$C65)</f>
        <v>0</v>
      </c>
      <c r="R65" s="419">
        <f>SUMIFS('boc xe'!AI$2:AI$27,'boc xe'!$B$2:$B$27,'chia CN boc xe'!$C65)</f>
        <v>0</v>
      </c>
      <c r="S65" s="419">
        <f>SUMIFS('boc xe'!AJ$2:AJ$27,'boc xe'!$B$2:$B$27,'chia CN boc xe'!$C65)</f>
        <v>0</v>
      </c>
      <c r="U65" s="542" t="e">
        <f>'BANG LUONG 1'!#REF!</f>
        <v>#REF!</v>
      </c>
      <c r="V65" s="81">
        <f t="shared" si="17"/>
        <v>0</v>
      </c>
      <c r="W65" s="81">
        <f t="shared" si="18"/>
        <v>0</v>
      </c>
      <c r="X65" s="81">
        <f t="shared" si="19"/>
        <v>0</v>
      </c>
      <c r="Y65" s="81">
        <f t="shared" si="20"/>
        <v>0</v>
      </c>
      <c r="Z65" s="81">
        <f t="shared" si="21"/>
        <v>0</v>
      </c>
      <c r="AA65" s="81">
        <f t="shared" si="22"/>
        <v>0</v>
      </c>
      <c r="AB65" s="81">
        <f t="shared" si="23"/>
        <v>0</v>
      </c>
      <c r="AC65" s="81">
        <f t="shared" si="24"/>
        <v>0</v>
      </c>
      <c r="AD65" s="81">
        <f t="shared" si="25"/>
        <v>0</v>
      </c>
      <c r="AE65" s="81">
        <f t="shared" si="26"/>
        <v>0</v>
      </c>
      <c r="AF65" s="81">
        <f t="shared" si="27"/>
        <v>0</v>
      </c>
      <c r="AG65" s="81">
        <f t="shared" si="28"/>
        <v>0</v>
      </c>
      <c r="AH65" s="81">
        <f t="shared" si="29"/>
        <v>0</v>
      </c>
      <c r="AI65" s="81">
        <f t="shared" si="30"/>
        <v>0</v>
      </c>
      <c r="AJ65" s="81">
        <f t="shared" si="31"/>
        <v>0</v>
      </c>
      <c r="AK65" s="81">
        <f t="shared" si="32"/>
        <v>0</v>
      </c>
    </row>
    <row r="66" spans="1:37" ht="15.75" customHeight="1" x14ac:dyDescent="0.25">
      <c r="A66" s="421">
        <f t="shared" si="33"/>
        <v>65</v>
      </c>
      <c r="B66" s="543"/>
      <c r="C66" s="421"/>
      <c r="D66" s="419">
        <f>SUMIFS('boc xe'!U$2:U$27,'boc xe'!$B$2:$B$27,'chia CN boc xe'!$C66)</f>
        <v>0</v>
      </c>
      <c r="E66" s="419">
        <f>SUMIFS('boc xe'!V$2:V$27,'boc xe'!$B$2:$B$27,'chia CN boc xe'!$C66)</f>
        <v>0</v>
      </c>
      <c r="F66" s="419">
        <f>SUMIFS('boc xe'!W$2:W$27,'boc xe'!$B$2:$B$27,'chia CN boc xe'!$C66)</f>
        <v>0</v>
      </c>
      <c r="G66" s="419">
        <f>SUMIFS('boc xe'!X$2:X$27,'boc xe'!$B$2:$B$27,'chia CN boc xe'!$C66)</f>
        <v>0</v>
      </c>
      <c r="H66" s="419">
        <f>SUMIFS('boc xe'!Y$2:Y$27,'boc xe'!$B$2:$B$27,'chia CN boc xe'!$C66)</f>
        <v>0</v>
      </c>
      <c r="I66" s="419">
        <f>SUMIFS('boc xe'!Z$2:Z$27,'boc xe'!$B$2:$B$27,'chia CN boc xe'!$C66)</f>
        <v>0</v>
      </c>
      <c r="J66" s="419">
        <f>SUMIFS('boc xe'!AA$2:AA$27,'boc xe'!$B$2:$B$27,'chia CN boc xe'!$C66)</f>
        <v>0</v>
      </c>
      <c r="K66" s="419">
        <f>SUMIFS('boc xe'!AB$2:AB$27,'boc xe'!$B$2:$B$27,'chia CN boc xe'!$C66)</f>
        <v>0</v>
      </c>
      <c r="L66" s="419">
        <f>SUMIFS('boc xe'!AC$2:AC$27,'boc xe'!$B$2:$B$27,'chia CN boc xe'!$C66)</f>
        <v>0</v>
      </c>
      <c r="M66" s="419">
        <f>SUMIFS('boc xe'!AD$2:AD$27,'boc xe'!$B$2:$B$27,'chia CN boc xe'!$C66)</f>
        <v>0</v>
      </c>
      <c r="N66" s="419">
        <f>SUMIFS('boc xe'!AE$2:AE$27,'boc xe'!$B$2:$B$27,'chia CN boc xe'!$C66)</f>
        <v>0</v>
      </c>
      <c r="O66" s="419">
        <f>SUMIFS('boc xe'!AF$2:AF$27,'boc xe'!$B$2:$B$27,'chia CN boc xe'!$C66)</f>
        <v>0</v>
      </c>
      <c r="P66" s="419">
        <f>SUMIFS('boc xe'!AG$2:AG$27,'boc xe'!$B$2:$B$27,'chia CN boc xe'!$C66)</f>
        <v>0</v>
      </c>
      <c r="Q66" s="419">
        <f>SUMIFS('boc xe'!AH$2:AH$27,'boc xe'!$B$2:$B$27,'chia CN boc xe'!$C66)</f>
        <v>0</v>
      </c>
      <c r="R66" s="419">
        <f>SUMIFS('boc xe'!AI$2:AI$27,'boc xe'!$B$2:$B$27,'chia CN boc xe'!$C66)</f>
        <v>0</v>
      </c>
      <c r="S66" s="419">
        <f>SUMIFS('boc xe'!AJ$2:AJ$27,'boc xe'!$B$2:$B$27,'chia CN boc xe'!$C66)</f>
        <v>0</v>
      </c>
      <c r="U66" s="545" t="e">
        <f>'BANG LUONG 1'!#REF!</f>
        <v>#REF!</v>
      </c>
      <c r="V66" s="81">
        <f t="shared" si="17"/>
        <v>0</v>
      </c>
      <c r="W66" s="81">
        <f t="shared" si="18"/>
        <v>0</v>
      </c>
      <c r="X66" s="81">
        <f t="shared" si="19"/>
        <v>0</v>
      </c>
      <c r="Y66" s="81">
        <f t="shared" si="20"/>
        <v>0</v>
      </c>
      <c r="Z66" s="81">
        <f t="shared" si="21"/>
        <v>0</v>
      </c>
      <c r="AA66" s="81">
        <f t="shared" si="22"/>
        <v>0</v>
      </c>
      <c r="AB66" s="81">
        <f t="shared" si="23"/>
        <v>0</v>
      </c>
      <c r="AC66" s="81">
        <f t="shared" si="24"/>
        <v>0</v>
      </c>
      <c r="AD66" s="81">
        <f t="shared" si="25"/>
        <v>0</v>
      </c>
      <c r="AE66" s="81">
        <f t="shared" si="26"/>
        <v>0</v>
      </c>
      <c r="AF66" s="81">
        <f t="shared" si="27"/>
        <v>0</v>
      </c>
      <c r="AG66" s="81">
        <f t="shared" si="28"/>
        <v>0</v>
      </c>
      <c r="AH66" s="81">
        <f t="shared" si="29"/>
        <v>0</v>
      </c>
      <c r="AI66" s="81">
        <f t="shared" si="30"/>
        <v>0</v>
      </c>
      <c r="AJ66" s="81">
        <f t="shared" si="31"/>
        <v>0</v>
      </c>
      <c r="AK66" s="81">
        <f t="shared" si="32"/>
        <v>0</v>
      </c>
    </row>
    <row r="67" spans="1:37" ht="15.75" customHeight="1" x14ac:dyDescent="0.25">
      <c r="A67" s="421">
        <f t="shared" si="33"/>
        <v>66</v>
      </c>
      <c r="B67" s="543"/>
      <c r="C67" s="421"/>
      <c r="D67" s="419">
        <f>SUMIFS('boc xe'!U$2:U$27,'boc xe'!$B$2:$B$27,'chia CN boc xe'!$C67)</f>
        <v>0</v>
      </c>
      <c r="E67" s="419">
        <f>SUMIFS('boc xe'!V$2:V$27,'boc xe'!$B$2:$B$27,'chia CN boc xe'!$C67)</f>
        <v>0</v>
      </c>
      <c r="F67" s="419">
        <f>SUMIFS('boc xe'!W$2:W$27,'boc xe'!$B$2:$B$27,'chia CN boc xe'!$C67)</f>
        <v>0</v>
      </c>
      <c r="G67" s="419">
        <f>SUMIFS('boc xe'!X$2:X$27,'boc xe'!$B$2:$B$27,'chia CN boc xe'!$C67)</f>
        <v>0</v>
      </c>
      <c r="H67" s="419">
        <f>SUMIFS('boc xe'!Y$2:Y$27,'boc xe'!$B$2:$B$27,'chia CN boc xe'!$C67)</f>
        <v>0</v>
      </c>
      <c r="I67" s="419">
        <f>SUMIFS('boc xe'!Z$2:Z$27,'boc xe'!$B$2:$B$27,'chia CN boc xe'!$C67)</f>
        <v>0</v>
      </c>
      <c r="J67" s="419">
        <f>SUMIFS('boc xe'!AA$2:AA$27,'boc xe'!$B$2:$B$27,'chia CN boc xe'!$C67)</f>
        <v>0</v>
      </c>
      <c r="K67" s="419">
        <f>SUMIFS('boc xe'!AB$2:AB$27,'boc xe'!$B$2:$B$27,'chia CN boc xe'!$C67)</f>
        <v>0</v>
      </c>
      <c r="L67" s="419">
        <f>SUMIFS('boc xe'!AC$2:AC$27,'boc xe'!$B$2:$B$27,'chia CN boc xe'!$C67)</f>
        <v>0</v>
      </c>
      <c r="M67" s="419">
        <f>SUMIFS('boc xe'!AD$2:AD$27,'boc xe'!$B$2:$B$27,'chia CN boc xe'!$C67)</f>
        <v>0</v>
      </c>
      <c r="N67" s="419">
        <f>SUMIFS('boc xe'!AE$2:AE$27,'boc xe'!$B$2:$B$27,'chia CN boc xe'!$C67)</f>
        <v>0</v>
      </c>
      <c r="O67" s="419">
        <f>SUMIFS('boc xe'!AF$2:AF$27,'boc xe'!$B$2:$B$27,'chia CN boc xe'!$C67)</f>
        <v>0</v>
      </c>
      <c r="P67" s="419">
        <f>SUMIFS('boc xe'!AG$2:AG$27,'boc xe'!$B$2:$B$27,'chia CN boc xe'!$C67)</f>
        <v>0</v>
      </c>
      <c r="Q67" s="419">
        <f>SUMIFS('boc xe'!AH$2:AH$27,'boc xe'!$B$2:$B$27,'chia CN boc xe'!$C67)</f>
        <v>0</v>
      </c>
      <c r="R67" s="419">
        <f>SUMIFS('boc xe'!AI$2:AI$27,'boc xe'!$B$2:$B$27,'chia CN boc xe'!$C67)</f>
        <v>0</v>
      </c>
      <c r="S67" s="419">
        <f>SUMIFS('boc xe'!AJ$2:AJ$27,'boc xe'!$B$2:$B$27,'chia CN boc xe'!$C67)</f>
        <v>0</v>
      </c>
      <c r="U67" s="542" t="e">
        <f>'BANG LUONG 1'!#REF!</f>
        <v>#REF!</v>
      </c>
      <c r="V67" s="81">
        <f t="shared" ref="V67:V72" si="34">SUMIF($B$3:$B$131,$U67,D$3:D$131)</f>
        <v>0</v>
      </c>
      <c r="W67" s="81">
        <f t="shared" ref="W67:W72" si="35">SUMIF($B$3:$B$131,$U67,E$3:E$131)</f>
        <v>0</v>
      </c>
      <c r="X67" s="81">
        <f t="shared" ref="X67:X72" si="36">SUMIF($B$3:$B$131,$U67,F$3:F$131)</f>
        <v>0</v>
      </c>
      <c r="Y67" s="81">
        <f t="shared" ref="Y67:Y72" si="37">SUMIF($B$3:$B$131,$U67,G$3:G$131)</f>
        <v>0</v>
      </c>
      <c r="Z67" s="81">
        <f t="shared" ref="Z67:Z72" si="38">SUMIF($B$3:$B$131,$U67,H$3:H$131)</f>
        <v>0</v>
      </c>
      <c r="AA67" s="81">
        <f t="shared" ref="AA67:AA72" si="39">SUMIF($B$3:$B$131,$U67,I$3:I$131)</f>
        <v>0</v>
      </c>
      <c r="AB67" s="81">
        <f t="shared" ref="AB67:AB72" si="40">SUMIF($B$3:$B$131,$U67,J$3:J$131)</f>
        <v>0</v>
      </c>
      <c r="AC67" s="81">
        <f t="shared" ref="AC67:AC72" si="41">SUMIF($B$3:$B$131,$U67,K$3:K$131)</f>
        <v>0</v>
      </c>
      <c r="AD67" s="81">
        <f t="shared" ref="AD67:AD72" si="42">SUMIF($B$3:$B$131,$U67,L$3:L$131)</f>
        <v>0</v>
      </c>
      <c r="AE67" s="81">
        <f t="shared" ref="AE67:AE72" si="43">SUMIF($B$3:$B$131,$U67,M$3:M$131)</f>
        <v>0</v>
      </c>
      <c r="AF67" s="81">
        <f t="shared" ref="AF67:AF72" si="44">SUMIF($B$3:$B$131,$U67,N$3:N$131)</f>
        <v>0</v>
      </c>
      <c r="AG67" s="81">
        <f t="shared" ref="AG67:AG72" si="45">SUMIF($B$3:$B$131,$U67,O$3:O$131)</f>
        <v>0</v>
      </c>
      <c r="AH67" s="81">
        <f t="shared" ref="AH67:AH72" si="46">SUMIF($B$3:$B$131,$U67,P$3:P$131)</f>
        <v>0</v>
      </c>
      <c r="AI67" s="81">
        <f t="shared" ref="AI67:AI72" si="47">SUMIF($B$3:$B$131,$U67,Q$3:Q$131)</f>
        <v>0</v>
      </c>
      <c r="AJ67" s="81">
        <f t="shared" ref="AJ67:AJ72" si="48">SUMIF($B$3:$B$131,$U67,R$3:R$131)</f>
        <v>0</v>
      </c>
      <c r="AK67" s="81">
        <f t="shared" ref="AK67:AK72" si="49">SUMIF($B$3:$B$131,$U67,S$3:S$131)</f>
        <v>0</v>
      </c>
    </row>
    <row r="68" spans="1:37" ht="15.75" customHeight="1" x14ac:dyDescent="0.25">
      <c r="A68" s="421">
        <f t="shared" si="33"/>
        <v>67</v>
      </c>
      <c r="B68" s="543"/>
      <c r="C68" s="421"/>
      <c r="D68" s="419">
        <f>SUMIFS('boc xe'!U$2:U$27,'boc xe'!$B$2:$B$27,'chia CN boc xe'!$C68)</f>
        <v>0</v>
      </c>
      <c r="E68" s="419">
        <f>SUMIFS('boc xe'!V$2:V$27,'boc xe'!$B$2:$B$27,'chia CN boc xe'!$C68)</f>
        <v>0</v>
      </c>
      <c r="F68" s="419">
        <f>SUMIFS('boc xe'!W$2:W$27,'boc xe'!$B$2:$B$27,'chia CN boc xe'!$C68)</f>
        <v>0</v>
      </c>
      <c r="G68" s="419">
        <f>SUMIFS('boc xe'!X$2:X$27,'boc xe'!$B$2:$B$27,'chia CN boc xe'!$C68)</f>
        <v>0</v>
      </c>
      <c r="H68" s="419">
        <f>SUMIFS('boc xe'!Y$2:Y$27,'boc xe'!$B$2:$B$27,'chia CN boc xe'!$C68)</f>
        <v>0</v>
      </c>
      <c r="I68" s="419">
        <f>SUMIFS('boc xe'!Z$2:Z$27,'boc xe'!$B$2:$B$27,'chia CN boc xe'!$C68)</f>
        <v>0</v>
      </c>
      <c r="J68" s="419">
        <f>SUMIFS('boc xe'!AA$2:AA$27,'boc xe'!$B$2:$B$27,'chia CN boc xe'!$C68)</f>
        <v>0</v>
      </c>
      <c r="K68" s="419">
        <f>SUMIFS('boc xe'!AB$2:AB$27,'boc xe'!$B$2:$B$27,'chia CN boc xe'!$C68)</f>
        <v>0</v>
      </c>
      <c r="L68" s="419">
        <f>SUMIFS('boc xe'!AC$2:AC$27,'boc xe'!$B$2:$B$27,'chia CN boc xe'!$C68)</f>
        <v>0</v>
      </c>
      <c r="M68" s="419">
        <f>SUMIFS('boc xe'!AD$2:AD$27,'boc xe'!$B$2:$B$27,'chia CN boc xe'!$C68)</f>
        <v>0</v>
      </c>
      <c r="N68" s="419">
        <f>SUMIFS('boc xe'!AE$2:AE$27,'boc xe'!$B$2:$B$27,'chia CN boc xe'!$C68)</f>
        <v>0</v>
      </c>
      <c r="O68" s="419">
        <f>SUMIFS('boc xe'!AF$2:AF$27,'boc xe'!$B$2:$B$27,'chia CN boc xe'!$C68)</f>
        <v>0</v>
      </c>
      <c r="P68" s="419">
        <f>SUMIFS('boc xe'!AG$2:AG$27,'boc xe'!$B$2:$B$27,'chia CN boc xe'!$C68)</f>
        <v>0</v>
      </c>
      <c r="Q68" s="419">
        <f>SUMIFS('boc xe'!AH$2:AH$27,'boc xe'!$B$2:$B$27,'chia CN boc xe'!$C68)</f>
        <v>0</v>
      </c>
      <c r="R68" s="419">
        <f>SUMIFS('boc xe'!AI$2:AI$27,'boc xe'!$B$2:$B$27,'chia CN boc xe'!$C68)</f>
        <v>0</v>
      </c>
      <c r="S68" s="419">
        <f>SUMIFS('boc xe'!AJ$2:AJ$27,'boc xe'!$B$2:$B$27,'chia CN boc xe'!$C68)</f>
        <v>0</v>
      </c>
      <c r="U68" s="545" t="e">
        <f>'BANG LUONG 1'!#REF!</f>
        <v>#REF!</v>
      </c>
      <c r="V68" s="81">
        <f t="shared" si="34"/>
        <v>0</v>
      </c>
      <c r="W68" s="81">
        <f t="shared" si="35"/>
        <v>0</v>
      </c>
      <c r="X68" s="81">
        <f t="shared" si="36"/>
        <v>0</v>
      </c>
      <c r="Y68" s="81">
        <f t="shared" si="37"/>
        <v>0</v>
      </c>
      <c r="Z68" s="81">
        <f t="shared" si="38"/>
        <v>0</v>
      </c>
      <c r="AA68" s="81">
        <f t="shared" si="39"/>
        <v>0</v>
      </c>
      <c r="AB68" s="81">
        <f t="shared" si="40"/>
        <v>0</v>
      </c>
      <c r="AC68" s="81">
        <f t="shared" si="41"/>
        <v>0</v>
      </c>
      <c r="AD68" s="81">
        <f t="shared" si="42"/>
        <v>0</v>
      </c>
      <c r="AE68" s="81">
        <f t="shared" si="43"/>
        <v>0</v>
      </c>
      <c r="AF68" s="81">
        <f t="shared" si="44"/>
        <v>0</v>
      </c>
      <c r="AG68" s="81">
        <f t="shared" si="45"/>
        <v>0</v>
      </c>
      <c r="AH68" s="81">
        <f t="shared" si="46"/>
        <v>0</v>
      </c>
      <c r="AI68" s="81">
        <f t="shared" si="47"/>
        <v>0</v>
      </c>
      <c r="AJ68" s="81">
        <f t="shared" si="48"/>
        <v>0</v>
      </c>
      <c r="AK68" s="81">
        <f t="shared" si="49"/>
        <v>0</v>
      </c>
    </row>
    <row r="69" spans="1:37" ht="15.75" customHeight="1" x14ac:dyDescent="0.25">
      <c r="A69" s="421">
        <f t="shared" si="33"/>
        <v>68</v>
      </c>
      <c r="B69" s="545"/>
      <c r="C69" s="421"/>
      <c r="D69" s="419">
        <f>SUMIFS('boc xe'!U$2:U$27,'boc xe'!$B$2:$B$27,'chia CN boc xe'!$C69)</f>
        <v>0</v>
      </c>
      <c r="E69" s="419">
        <f>SUMIFS('boc xe'!V$2:V$27,'boc xe'!$B$2:$B$27,'chia CN boc xe'!$C69)</f>
        <v>0</v>
      </c>
      <c r="F69" s="419">
        <f>SUMIFS('boc xe'!W$2:W$27,'boc xe'!$B$2:$B$27,'chia CN boc xe'!$C69)</f>
        <v>0</v>
      </c>
      <c r="G69" s="419">
        <f>SUMIFS('boc xe'!X$2:X$27,'boc xe'!$B$2:$B$27,'chia CN boc xe'!$C69)</f>
        <v>0</v>
      </c>
      <c r="H69" s="419">
        <f>SUMIFS('boc xe'!Y$2:Y$27,'boc xe'!$B$2:$B$27,'chia CN boc xe'!$C69)</f>
        <v>0</v>
      </c>
      <c r="I69" s="419">
        <f>SUMIFS('boc xe'!Z$2:Z$27,'boc xe'!$B$2:$B$27,'chia CN boc xe'!$C69)</f>
        <v>0</v>
      </c>
      <c r="J69" s="419">
        <f>SUMIFS('boc xe'!AA$2:AA$27,'boc xe'!$B$2:$B$27,'chia CN boc xe'!$C69)</f>
        <v>0</v>
      </c>
      <c r="K69" s="419">
        <f>SUMIFS('boc xe'!AB$2:AB$27,'boc xe'!$B$2:$B$27,'chia CN boc xe'!$C69)</f>
        <v>0</v>
      </c>
      <c r="L69" s="419">
        <f>SUMIFS('boc xe'!AC$2:AC$27,'boc xe'!$B$2:$B$27,'chia CN boc xe'!$C69)</f>
        <v>0</v>
      </c>
      <c r="M69" s="419">
        <f>SUMIFS('boc xe'!AD$2:AD$27,'boc xe'!$B$2:$B$27,'chia CN boc xe'!$C69)</f>
        <v>0</v>
      </c>
      <c r="N69" s="419">
        <f>SUMIFS('boc xe'!AE$2:AE$27,'boc xe'!$B$2:$B$27,'chia CN boc xe'!$C69)</f>
        <v>0</v>
      </c>
      <c r="O69" s="419">
        <f>SUMIFS('boc xe'!AF$2:AF$27,'boc xe'!$B$2:$B$27,'chia CN boc xe'!$C69)</f>
        <v>0</v>
      </c>
      <c r="P69" s="419">
        <f>SUMIFS('boc xe'!AG$2:AG$27,'boc xe'!$B$2:$B$27,'chia CN boc xe'!$C69)</f>
        <v>0</v>
      </c>
      <c r="Q69" s="419">
        <f>SUMIFS('boc xe'!AH$2:AH$27,'boc xe'!$B$2:$B$27,'chia CN boc xe'!$C69)</f>
        <v>0</v>
      </c>
      <c r="R69" s="419">
        <f>SUMIFS('boc xe'!AI$2:AI$27,'boc xe'!$B$2:$B$27,'chia CN boc xe'!$C69)</f>
        <v>0</v>
      </c>
      <c r="S69" s="419">
        <f>SUMIFS('boc xe'!AJ$2:AJ$27,'boc xe'!$B$2:$B$27,'chia CN boc xe'!$C69)</f>
        <v>0</v>
      </c>
      <c r="U69" s="545" t="e">
        <f>'BANG LUONG 1'!#REF!</f>
        <v>#REF!</v>
      </c>
      <c r="V69" s="81">
        <f t="shared" si="34"/>
        <v>0</v>
      </c>
      <c r="W69" s="81">
        <f t="shared" si="35"/>
        <v>0</v>
      </c>
      <c r="X69" s="81">
        <f t="shared" si="36"/>
        <v>0</v>
      </c>
      <c r="Y69" s="81">
        <f t="shared" si="37"/>
        <v>0</v>
      </c>
      <c r="Z69" s="81">
        <f t="shared" si="38"/>
        <v>0</v>
      </c>
      <c r="AA69" s="81">
        <f t="shared" si="39"/>
        <v>0</v>
      </c>
      <c r="AB69" s="81">
        <f t="shared" si="40"/>
        <v>0</v>
      </c>
      <c r="AC69" s="81">
        <f t="shared" si="41"/>
        <v>0</v>
      </c>
      <c r="AD69" s="81">
        <f t="shared" si="42"/>
        <v>0</v>
      </c>
      <c r="AE69" s="81">
        <f t="shared" si="43"/>
        <v>0</v>
      </c>
      <c r="AF69" s="81">
        <f t="shared" si="44"/>
        <v>0</v>
      </c>
      <c r="AG69" s="81">
        <f t="shared" si="45"/>
        <v>0</v>
      </c>
      <c r="AH69" s="81">
        <f t="shared" si="46"/>
        <v>0</v>
      </c>
      <c r="AI69" s="81">
        <f t="shared" si="47"/>
        <v>0</v>
      </c>
      <c r="AJ69" s="81">
        <f t="shared" si="48"/>
        <v>0</v>
      </c>
      <c r="AK69" s="81">
        <f t="shared" si="49"/>
        <v>0</v>
      </c>
    </row>
    <row r="70" spans="1:37" ht="15.75" customHeight="1" x14ac:dyDescent="0.25">
      <c r="A70" s="421">
        <f t="shared" si="33"/>
        <v>69</v>
      </c>
      <c r="B70" s="543"/>
      <c r="C70" s="421"/>
      <c r="D70" s="419">
        <f>SUMIFS('boc xe'!U$2:U$27,'boc xe'!$B$2:$B$27,'chia CN boc xe'!$C70)</f>
        <v>0</v>
      </c>
      <c r="E70" s="419">
        <f>SUMIFS('boc xe'!V$2:V$27,'boc xe'!$B$2:$B$27,'chia CN boc xe'!$C70)</f>
        <v>0</v>
      </c>
      <c r="F70" s="419">
        <f>SUMIFS('boc xe'!W$2:W$27,'boc xe'!$B$2:$B$27,'chia CN boc xe'!$C70)</f>
        <v>0</v>
      </c>
      <c r="G70" s="419">
        <f>SUMIFS('boc xe'!X$2:X$27,'boc xe'!$B$2:$B$27,'chia CN boc xe'!$C70)</f>
        <v>0</v>
      </c>
      <c r="H70" s="419">
        <f>SUMIFS('boc xe'!Y$2:Y$27,'boc xe'!$B$2:$B$27,'chia CN boc xe'!$C70)</f>
        <v>0</v>
      </c>
      <c r="I70" s="419">
        <f>SUMIFS('boc xe'!Z$2:Z$27,'boc xe'!$B$2:$B$27,'chia CN boc xe'!$C70)</f>
        <v>0</v>
      </c>
      <c r="J70" s="419">
        <f>SUMIFS('boc xe'!AA$2:AA$27,'boc xe'!$B$2:$B$27,'chia CN boc xe'!$C70)</f>
        <v>0</v>
      </c>
      <c r="K70" s="419">
        <f>SUMIFS('boc xe'!AB$2:AB$27,'boc xe'!$B$2:$B$27,'chia CN boc xe'!$C70)</f>
        <v>0</v>
      </c>
      <c r="L70" s="419">
        <f>SUMIFS('boc xe'!AC$2:AC$27,'boc xe'!$B$2:$B$27,'chia CN boc xe'!$C70)</f>
        <v>0</v>
      </c>
      <c r="M70" s="419">
        <f>SUMIFS('boc xe'!AD$2:AD$27,'boc xe'!$B$2:$B$27,'chia CN boc xe'!$C70)</f>
        <v>0</v>
      </c>
      <c r="N70" s="419">
        <f>SUMIFS('boc xe'!AE$2:AE$27,'boc xe'!$B$2:$B$27,'chia CN boc xe'!$C70)</f>
        <v>0</v>
      </c>
      <c r="O70" s="419">
        <f>SUMIFS('boc xe'!AF$2:AF$27,'boc xe'!$B$2:$B$27,'chia CN boc xe'!$C70)</f>
        <v>0</v>
      </c>
      <c r="P70" s="419">
        <f>SUMIFS('boc xe'!AG$2:AG$27,'boc xe'!$B$2:$B$27,'chia CN boc xe'!$C70)</f>
        <v>0</v>
      </c>
      <c r="Q70" s="419">
        <f>SUMIFS('boc xe'!AH$2:AH$27,'boc xe'!$B$2:$B$27,'chia CN boc xe'!$C70)</f>
        <v>0</v>
      </c>
      <c r="R70" s="419">
        <f>SUMIFS('boc xe'!AI$2:AI$27,'boc xe'!$B$2:$B$27,'chia CN boc xe'!$C70)</f>
        <v>0</v>
      </c>
      <c r="S70" s="419">
        <f>SUMIFS('boc xe'!AJ$2:AJ$27,'boc xe'!$B$2:$B$27,'chia CN boc xe'!$C70)</f>
        <v>0</v>
      </c>
      <c r="U70" s="542" t="e">
        <f>'BANG LUONG 1'!#REF!</f>
        <v>#REF!</v>
      </c>
      <c r="V70" s="81">
        <f t="shared" si="34"/>
        <v>0</v>
      </c>
      <c r="W70" s="81">
        <f t="shared" si="35"/>
        <v>0</v>
      </c>
      <c r="X70" s="81">
        <f t="shared" si="36"/>
        <v>0</v>
      </c>
      <c r="Y70" s="81">
        <f t="shared" si="37"/>
        <v>0</v>
      </c>
      <c r="Z70" s="81">
        <f t="shared" si="38"/>
        <v>0</v>
      </c>
      <c r="AA70" s="81">
        <f t="shared" si="39"/>
        <v>0</v>
      </c>
      <c r="AB70" s="81">
        <f t="shared" si="40"/>
        <v>0</v>
      </c>
      <c r="AC70" s="81">
        <f t="shared" si="41"/>
        <v>0</v>
      </c>
      <c r="AD70" s="81">
        <f t="shared" si="42"/>
        <v>0</v>
      </c>
      <c r="AE70" s="81">
        <f t="shared" si="43"/>
        <v>0</v>
      </c>
      <c r="AF70" s="81">
        <f t="shared" si="44"/>
        <v>0</v>
      </c>
      <c r="AG70" s="81">
        <f t="shared" si="45"/>
        <v>0</v>
      </c>
      <c r="AH70" s="81">
        <f t="shared" si="46"/>
        <v>0</v>
      </c>
      <c r="AI70" s="81">
        <f t="shared" si="47"/>
        <v>0</v>
      </c>
      <c r="AJ70" s="81">
        <f t="shared" si="48"/>
        <v>0</v>
      </c>
      <c r="AK70" s="81">
        <f t="shared" si="49"/>
        <v>0</v>
      </c>
    </row>
    <row r="71" spans="1:37" ht="15.75" customHeight="1" x14ac:dyDescent="0.25">
      <c r="A71" s="421">
        <f t="shared" si="33"/>
        <v>70</v>
      </c>
      <c r="B71" s="543"/>
      <c r="C71" s="421"/>
      <c r="D71" s="419">
        <f>SUMIFS('boc xe'!U$2:U$27,'boc xe'!$B$2:$B$27,'chia CN boc xe'!$C71)</f>
        <v>0</v>
      </c>
      <c r="E71" s="419">
        <f>SUMIFS('boc xe'!V$2:V$27,'boc xe'!$B$2:$B$27,'chia CN boc xe'!$C71)</f>
        <v>0</v>
      </c>
      <c r="F71" s="419">
        <f>SUMIFS('boc xe'!W$2:W$27,'boc xe'!$B$2:$B$27,'chia CN boc xe'!$C71)</f>
        <v>0</v>
      </c>
      <c r="G71" s="419">
        <f>SUMIFS('boc xe'!X$2:X$27,'boc xe'!$B$2:$B$27,'chia CN boc xe'!$C71)</f>
        <v>0</v>
      </c>
      <c r="H71" s="419">
        <f>SUMIFS('boc xe'!Y$2:Y$27,'boc xe'!$B$2:$B$27,'chia CN boc xe'!$C71)</f>
        <v>0</v>
      </c>
      <c r="I71" s="419">
        <f>SUMIFS('boc xe'!Z$2:Z$27,'boc xe'!$B$2:$B$27,'chia CN boc xe'!$C71)</f>
        <v>0</v>
      </c>
      <c r="J71" s="419">
        <f>SUMIFS('boc xe'!AA$2:AA$27,'boc xe'!$B$2:$B$27,'chia CN boc xe'!$C71)</f>
        <v>0</v>
      </c>
      <c r="K71" s="419">
        <f>SUMIFS('boc xe'!AB$2:AB$27,'boc xe'!$B$2:$B$27,'chia CN boc xe'!$C71)</f>
        <v>0</v>
      </c>
      <c r="L71" s="419">
        <f>SUMIFS('boc xe'!AC$2:AC$27,'boc xe'!$B$2:$B$27,'chia CN boc xe'!$C71)</f>
        <v>0</v>
      </c>
      <c r="M71" s="419">
        <f>SUMIFS('boc xe'!AD$2:AD$27,'boc xe'!$B$2:$B$27,'chia CN boc xe'!$C71)</f>
        <v>0</v>
      </c>
      <c r="N71" s="419">
        <f>SUMIFS('boc xe'!AE$2:AE$27,'boc xe'!$B$2:$B$27,'chia CN boc xe'!$C71)</f>
        <v>0</v>
      </c>
      <c r="O71" s="419">
        <f>SUMIFS('boc xe'!AF$2:AF$27,'boc xe'!$B$2:$B$27,'chia CN boc xe'!$C71)</f>
        <v>0</v>
      </c>
      <c r="P71" s="419">
        <f>SUMIFS('boc xe'!AG$2:AG$27,'boc xe'!$B$2:$B$27,'chia CN boc xe'!$C71)</f>
        <v>0</v>
      </c>
      <c r="Q71" s="419">
        <f>SUMIFS('boc xe'!AH$2:AH$27,'boc xe'!$B$2:$B$27,'chia CN boc xe'!$C71)</f>
        <v>0</v>
      </c>
      <c r="R71" s="419">
        <f>SUMIFS('boc xe'!AI$2:AI$27,'boc xe'!$B$2:$B$27,'chia CN boc xe'!$C71)</f>
        <v>0</v>
      </c>
      <c r="S71" s="419">
        <f>SUMIFS('boc xe'!AJ$2:AJ$27,'boc xe'!$B$2:$B$27,'chia CN boc xe'!$C71)</f>
        <v>0</v>
      </c>
      <c r="U71" s="545" t="e">
        <f>'BANG LUONG 1'!#REF!</f>
        <v>#REF!</v>
      </c>
      <c r="V71" s="81">
        <f t="shared" si="34"/>
        <v>0</v>
      </c>
      <c r="W71" s="81">
        <f t="shared" si="35"/>
        <v>0</v>
      </c>
      <c r="X71" s="81">
        <f t="shared" si="36"/>
        <v>0</v>
      </c>
      <c r="Y71" s="81">
        <f t="shared" si="37"/>
        <v>0</v>
      </c>
      <c r="Z71" s="81">
        <f t="shared" si="38"/>
        <v>0</v>
      </c>
      <c r="AA71" s="81">
        <f t="shared" si="39"/>
        <v>0</v>
      </c>
      <c r="AB71" s="81">
        <f t="shared" si="40"/>
        <v>0</v>
      </c>
      <c r="AC71" s="81">
        <f t="shared" si="41"/>
        <v>0</v>
      </c>
      <c r="AD71" s="81">
        <f t="shared" si="42"/>
        <v>0</v>
      </c>
      <c r="AE71" s="81">
        <f t="shared" si="43"/>
        <v>0</v>
      </c>
      <c r="AF71" s="81">
        <f t="shared" si="44"/>
        <v>0</v>
      </c>
      <c r="AG71" s="81">
        <f t="shared" si="45"/>
        <v>0</v>
      </c>
      <c r="AH71" s="81">
        <f t="shared" si="46"/>
        <v>0</v>
      </c>
      <c r="AI71" s="81">
        <f t="shared" si="47"/>
        <v>0</v>
      </c>
      <c r="AJ71" s="81">
        <f t="shared" si="48"/>
        <v>0</v>
      </c>
      <c r="AK71" s="81">
        <f t="shared" si="49"/>
        <v>0</v>
      </c>
    </row>
    <row r="72" spans="1:37" ht="15.75" customHeight="1" x14ac:dyDescent="0.25">
      <c r="A72" s="421">
        <f t="shared" si="33"/>
        <v>71</v>
      </c>
      <c r="B72" s="543"/>
      <c r="C72" s="421"/>
      <c r="D72" s="419">
        <f>SUMIFS('boc xe'!U$2:U$27,'boc xe'!$B$2:$B$27,'chia CN boc xe'!$C72)</f>
        <v>0</v>
      </c>
      <c r="E72" s="419">
        <f>SUMIFS('boc xe'!V$2:V$27,'boc xe'!$B$2:$B$27,'chia CN boc xe'!$C72)</f>
        <v>0</v>
      </c>
      <c r="F72" s="419">
        <f>SUMIFS('boc xe'!W$2:W$27,'boc xe'!$B$2:$B$27,'chia CN boc xe'!$C72)</f>
        <v>0</v>
      </c>
      <c r="G72" s="419">
        <f>SUMIFS('boc xe'!X$2:X$27,'boc xe'!$B$2:$B$27,'chia CN boc xe'!$C72)</f>
        <v>0</v>
      </c>
      <c r="H72" s="419">
        <f>SUMIFS('boc xe'!Y$2:Y$27,'boc xe'!$B$2:$B$27,'chia CN boc xe'!$C72)</f>
        <v>0</v>
      </c>
      <c r="I72" s="419">
        <f>SUMIFS('boc xe'!Z$2:Z$27,'boc xe'!$B$2:$B$27,'chia CN boc xe'!$C72)</f>
        <v>0</v>
      </c>
      <c r="J72" s="419">
        <f>SUMIFS('boc xe'!AA$2:AA$27,'boc xe'!$B$2:$B$27,'chia CN boc xe'!$C72)</f>
        <v>0</v>
      </c>
      <c r="K72" s="419">
        <f>SUMIFS('boc xe'!AB$2:AB$27,'boc xe'!$B$2:$B$27,'chia CN boc xe'!$C72)</f>
        <v>0</v>
      </c>
      <c r="L72" s="419">
        <f>SUMIFS('boc xe'!AC$2:AC$27,'boc xe'!$B$2:$B$27,'chia CN boc xe'!$C72)</f>
        <v>0</v>
      </c>
      <c r="M72" s="419">
        <f>SUMIFS('boc xe'!AD$2:AD$27,'boc xe'!$B$2:$B$27,'chia CN boc xe'!$C72)</f>
        <v>0</v>
      </c>
      <c r="N72" s="419">
        <f>SUMIFS('boc xe'!AE$2:AE$27,'boc xe'!$B$2:$B$27,'chia CN boc xe'!$C72)</f>
        <v>0</v>
      </c>
      <c r="O72" s="419">
        <f>SUMIFS('boc xe'!AF$2:AF$27,'boc xe'!$B$2:$B$27,'chia CN boc xe'!$C72)</f>
        <v>0</v>
      </c>
      <c r="P72" s="419">
        <f>SUMIFS('boc xe'!AG$2:AG$27,'boc xe'!$B$2:$B$27,'chia CN boc xe'!$C72)</f>
        <v>0</v>
      </c>
      <c r="Q72" s="419">
        <f>SUMIFS('boc xe'!AH$2:AH$27,'boc xe'!$B$2:$B$27,'chia CN boc xe'!$C72)</f>
        <v>0</v>
      </c>
      <c r="R72" s="419">
        <f>SUMIFS('boc xe'!AI$2:AI$27,'boc xe'!$B$2:$B$27,'chia CN boc xe'!$C72)</f>
        <v>0</v>
      </c>
      <c r="S72" s="419">
        <f>SUMIFS('boc xe'!AJ$2:AJ$27,'boc xe'!$B$2:$B$27,'chia CN boc xe'!$C72)</f>
        <v>0</v>
      </c>
      <c r="U72" s="542" t="str">
        <f>'BANG LUONG 1'!C34</f>
        <v>Hà Thanh Truyền</v>
      </c>
      <c r="V72" s="81">
        <f t="shared" si="34"/>
        <v>0</v>
      </c>
      <c r="W72" s="81">
        <f t="shared" si="35"/>
        <v>0</v>
      </c>
      <c r="X72" s="81">
        <f t="shared" si="36"/>
        <v>0</v>
      </c>
      <c r="Y72" s="81">
        <f t="shared" si="37"/>
        <v>0</v>
      </c>
      <c r="Z72" s="81">
        <f t="shared" si="38"/>
        <v>0</v>
      </c>
      <c r="AA72" s="81">
        <f t="shared" si="39"/>
        <v>0</v>
      </c>
      <c r="AB72" s="81">
        <f t="shared" si="40"/>
        <v>0</v>
      </c>
      <c r="AC72" s="81">
        <f t="shared" si="41"/>
        <v>0</v>
      </c>
      <c r="AD72" s="81">
        <f t="shared" si="42"/>
        <v>0</v>
      </c>
      <c r="AE72" s="81">
        <f t="shared" si="43"/>
        <v>0</v>
      </c>
      <c r="AF72" s="81">
        <f t="shared" si="44"/>
        <v>0</v>
      </c>
      <c r="AG72" s="81">
        <f t="shared" si="45"/>
        <v>0</v>
      </c>
      <c r="AH72" s="81">
        <f t="shared" si="46"/>
        <v>0</v>
      </c>
      <c r="AI72" s="81">
        <f t="shared" si="47"/>
        <v>0</v>
      </c>
      <c r="AJ72" s="81">
        <f t="shared" si="48"/>
        <v>0</v>
      </c>
      <c r="AK72" s="81">
        <f t="shared" si="49"/>
        <v>0</v>
      </c>
    </row>
    <row r="73" spans="1:37" ht="15.75" customHeight="1" x14ac:dyDescent="0.25">
      <c r="A73" s="421">
        <f t="shared" si="33"/>
        <v>72</v>
      </c>
      <c r="B73" s="543"/>
      <c r="C73" s="421"/>
      <c r="D73" s="419">
        <f>SUMIFS('boc xe'!U$2:U$27,'boc xe'!$B$2:$B$27,'chia CN boc xe'!$C73)</f>
        <v>0</v>
      </c>
      <c r="E73" s="419">
        <f>SUMIFS('boc xe'!V$2:V$27,'boc xe'!$B$2:$B$27,'chia CN boc xe'!$C73)</f>
        <v>0</v>
      </c>
      <c r="F73" s="419">
        <f>SUMIFS('boc xe'!W$2:W$27,'boc xe'!$B$2:$B$27,'chia CN boc xe'!$C73)</f>
        <v>0</v>
      </c>
      <c r="G73" s="419">
        <f>SUMIFS('boc xe'!X$2:X$27,'boc xe'!$B$2:$B$27,'chia CN boc xe'!$C73)</f>
        <v>0</v>
      </c>
      <c r="H73" s="419">
        <f>SUMIFS('boc xe'!Y$2:Y$27,'boc xe'!$B$2:$B$27,'chia CN boc xe'!$C73)</f>
        <v>0</v>
      </c>
      <c r="I73" s="419">
        <f>SUMIFS('boc xe'!Z$2:Z$27,'boc xe'!$B$2:$B$27,'chia CN boc xe'!$C73)</f>
        <v>0</v>
      </c>
      <c r="J73" s="419">
        <f>SUMIFS('boc xe'!AA$2:AA$27,'boc xe'!$B$2:$B$27,'chia CN boc xe'!$C73)</f>
        <v>0</v>
      </c>
      <c r="K73" s="419">
        <f>SUMIFS('boc xe'!AB$2:AB$27,'boc xe'!$B$2:$B$27,'chia CN boc xe'!$C73)</f>
        <v>0</v>
      </c>
      <c r="L73" s="419">
        <f>SUMIFS('boc xe'!AC$2:AC$27,'boc xe'!$B$2:$B$27,'chia CN boc xe'!$C73)</f>
        <v>0</v>
      </c>
      <c r="M73" s="419">
        <f>SUMIFS('boc xe'!AD$2:AD$27,'boc xe'!$B$2:$B$27,'chia CN boc xe'!$C73)</f>
        <v>0</v>
      </c>
      <c r="N73" s="419">
        <f>SUMIFS('boc xe'!AE$2:AE$27,'boc xe'!$B$2:$B$27,'chia CN boc xe'!$C73)</f>
        <v>0</v>
      </c>
      <c r="O73" s="419">
        <f>SUMIFS('boc xe'!AF$2:AF$27,'boc xe'!$B$2:$B$27,'chia CN boc xe'!$C73)</f>
        <v>0</v>
      </c>
      <c r="P73" s="419">
        <f>SUMIFS('boc xe'!AG$2:AG$27,'boc xe'!$B$2:$B$27,'chia CN boc xe'!$C73)</f>
        <v>0</v>
      </c>
      <c r="Q73" s="419">
        <f>SUMIFS('boc xe'!AH$2:AH$27,'boc xe'!$B$2:$B$27,'chia CN boc xe'!$C73)</f>
        <v>0</v>
      </c>
      <c r="R73" s="419">
        <f>SUMIFS('boc xe'!AI$2:AI$27,'boc xe'!$B$2:$B$27,'chia CN boc xe'!$C73)</f>
        <v>0</v>
      </c>
      <c r="S73" s="419">
        <f>SUMIFS('boc xe'!AJ$2:AJ$27,'boc xe'!$B$2:$B$27,'chia CN boc xe'!$C73)</f>
        <v>0</v>
      </c>
    </row>
    <row r="74" spans="1:37" ht="15.75" customHeight="1" x14ac:dyDescent="0.25">
      <c r="A74" s="421">
        <f t="shared" si="33"/>
        <v>73</v>
      </c>
      <c r="B74" s="543"/>
      <c r="C74" s="421"/>
      <c r="D74" s="419">
        <f>SUMIFS('boc xe'!U$2:U$27,'boc xe'!$B$2:$B$27,'chia CN boc xe'!$C74)</f>
        <v>0</v>
      </c>
      <c r="E74" s="419">
        <f>SUMIFS('boc xe'!V$2:V$27,'boc xe'!$B$2:$B$27,'chia CN boc xe'!$C74)</f>
        <v>0</v>
      </c>
      <c r="F74" s="419">
        <f>SUMIFS('boc xe'!W$2:W$27,'boc xe'!$B$2:$B$27,'chia CN boc xe'!$C74)</f>
        <v>0</v>
      </c>
      <c r="G74" s="419">
        <f>SUMIFS('boc xe'!X$2:X$27,'boc xe'!$B$2:$B$27,'chia CN boc xe'!$C74)</f>
        <v>0</v>
      </c>
      <c r="H74" s="419">
        <f>SUMIFS('boc xe'!Y$2:Y$27,'boc xe'!$B$2:$B$27,'chia CN boc xe'!$C74)</f>
        <v>0</v>
      </c>
      <c r="I74" s="419">
        <f>SUMIFS('boc xe'!Z$2:Z$27,'boc xe'!$B$2:$B$27,'chia CN boc xe'!$C74)</f>
        <v>0</v>
      </c>
      <c r="J74" s="419">
        <f>SUMIFS('boc xe'!AA$2:AA$27,'boc xe'!$B$2:$B$27,'chia CN boc xe'!$C74)</f>
        <v>0</v>
      </c>
      <c r="K74" s="419">
        <f>SUMIFS('boc xe'!AB$2:AB$27,'boc xe'!$B$2:$B$27,'chia CN boc xe'!$C74)</f>
        <v>0</v>
      </c>
      <c r="L74" s="419">
        <f>SUMIFS('boc xe'!AC$2:AC$27,'boc xe'!$B$2:$B$27,'chia CN boc xe'!$C74)</f>
        <v>0</v>
      </c>
      <c r="M74" s="419">
        <f>SUMIFS('boc xe'!AD$2:AD$27,'boc xe'!$B$2:$B$27,'chia CN boc xe'!$C74)</f>
        <v>0</v>
      </c>
      <c r="N74" s="419">
        <f>SUMIFS('boc xe'!AE$2:AE$27,'boc xe'!$B$2:$B$27,'chia CN boc xe'!$C74)</f>
        <v>0</v>
      </c>
      <c r="O74" s="419">
        <f>SUMIFS('boc xe'!AF$2:AF$27,'boc xe'!$B$2:$B$27,'chia CN boc xe'!$C74)</f>
        <v>0</v>
      </c>
      <c r="P74" s="419">
        <f>SUMIFS('boc xe'!AG$2:AG$27,'boc xe'!$B$2:$B$27,'chia CN boc xe'!$C74)</f>
        <v>0</v>
      </c>
      <c r="Q74" s="419">
        <f>SUMIFS('boc xe'!AH$2:AH$27,'boc xe'!$B$2:$B$27,'chia CN boc xe'!$C74)</f>
        <v>0</v>
      </c>
      <c r="R74" s="419">
        <f>SUMIFS('boc xe'!AI$2:AI$27,'boc xe'!$B$2:$B$27,'chia CN boc xe'!$C74)</f>
        <v>0</v>
      </c>
      <c r="S74" s="419">
        <f>SUMIFS('boc xe'!AJ$2:AJ$27,'boc xe'!$B$2:$B$27,'chia CN boc xe'!$C74)</f>
        <v>0</v>
      </c>
    </row>
    <row r="75" spans="1:37" ht="15.75" customHeight="1" x14ac:dyDescent="0.25">
      <c r="A75" s="421">
        <f t="shared" si="33"/>
        <v>74</v>
      </c>
      <c r="B75" s="543"/>
      <c r="C75" s="421"/>
      <c r="D75" s="419">
        <f>SUMIFS('boc xe'!U$2:U$27,'boc xe'!$B$2:$B$27,'chia CN boc xe'!$C75)</f>
        <v>0</v>
      </c>
      <c r="E75" s="419">
        <f>SUMIFS('boc xe'!V$2:V$27,'boc xe'!$B$2:$B$27,'chia CN boc xe'!$C75)</f>
        <v>0</v>
      </c>
      <c r="F75" s="419">
        <f>SUMIFS('boc xe'!W$2:W$27,'boc xe'!$B$2:$B$27,'chia CN boc xe'!$C75)</f>
        <v>0</v>
      </c>
      <c r="G75" s="419">
        <f>SUMIFS('boc xe'!X$2:X$27,'boc xe'!$B$2:$B$27,'chia CN boc xe'!$C75)</f>
        <v>0</v>
      </c>
      <c r="H75" s="419">
        <f>SUMIFS('boc xe'!Y$2:Y$27,'boc xe'!$B$2:$B$27,'chia CN boc xe'!$C75)</f>
        <v>0</v>
      </c>
      <c r="I75" s="419">
        <f>SUMIFS('boc xe'!Z$2:Z$27,'boc xe'!$B$2:$B$27,'chia CN boc xe'!$C75)</f>
        <v>0</v>
      </c>
      <c r="J75" s="419">
        <f>SUMIFS('boc xe'!AA$2:AA$27,'boc xe'!$B$2:$B$27,'chia CN boc xe'!$C75)</f>
        <v>0</v>
      </c>
      <c r="K75" s="419">
        <f>SUMIFS('boc xe'!AB$2:AB$27,'boc xe'!$B$2:$B$27,'chia CN boc xe'!$C75)</f>
        <v>0</v>
      </c>
      <c r="L75" s="419">
        <f>SUMIFS('boc xe'!AC$2:AC$27,'boc xe'!$B$2:$B$27,'chia CN boc xe'!$C75)</f>
        <v>0</v>
      </c>
      <c r="M75" s="419">
        <f>SUMIFS('boc xe'!AD$2:AD$27,'boc xe'!$B$2:$B$27,'chia CN boc xe'!$C75)</f>
        <v>0</v>
      </c>
      <c r="N75" s="419">
        <f>SUMIFS('boc xe'!AE$2:AE$27,'boc xe'!$B$2:$B$27,'chia CN boc xe'!$C75)</f>
        <v>0</v>
      </c>
      <c r="O75" s="419">
        <f>SUMIFS('boc xe'!AF$2:AF$27,'boc xe'!$B$2:$B$27,'chia CN boc xe'!$C75)</f>
        <v>0</v>
      </c>
      <c r="P75" s="419">
        <f>SUMIFS('boc xe'!AG$2:AG$27,'boc xe'!$B$2:$B$27,'chia CN boc xe'!$C75)</f>
        <v>0</v>
      </c>
      <c r="Q75" s="419">
        <f>SUMIFS('boc xe'!AH$2:AH$27,'boc xe'!$B$2:$B$27,'chia CN boc xe'!$C75)</f>
        <v>0</v>
      </c>
      <c r="R75" s="419">
        <f>SUMIFS('boc xe'!AI$2:AI$27,'boc xe'!$B$2:$B$27,'chia CN boc xe'!$C75)</f>
        <v>0</v>
      </c>
      <c r="S75" s="419">
        <f>SUMIFS('boc xe'!AJ$2:AJ$27,'boc xe'!$B$2:$B$27,'chia CN boc xe'!$C75)</f>
        <v>0</v>
      </c>
    </row>
    <row r="76" spans="1:37" ht="15.75" customHeight="1" x14ac:dyDescent="0.25">
      <c r="A76" s="421">
        <f t="shared" si="33"/>
        <v>75</v>
      </c>
      <c r="B76" s="543"/>
      <c r="C76" s="421"/>
      <c r="D76" s="419">
        <f>SUMIFS('boc xe'!U$2:U$27,'boc xe'!$B$2:$B$27,'chia CN boc xe'!$C76)</f>
        <v>0</v>
      </c>
      <c r="E76" s="419">
        <f>SUMIFS('boc xe'!V$2:V$27,'boc xe'!$B$2:$B$27,'chia CN boc xe'!$C76)</f>
        <v>0</v>
      </c>
      <c r="F76" s="419">
        <f>SUMIFS('boc xe'!W$2:W$27,'boc xe'!$B$2:$B$27,'chia CN boc xe'!$C76)</f>
        <v>0</v>
      </c>
      <c r="G76" s="419">
        <f>SUMIFS('boc xe'!X$2:X$27,'boc xe'!$B$2:$B$27,'chia CN boc xe'!$C76)</f>
        <v>0</v>
      </c>
      <c r="H76" s="419">
        <f>SUMIFS('boc xe'!Y$2:Y$27,'boc xe'!$B$2:$B$27,'chia CN boc xe'!$C76)</f>
        <v>0</v>
      </c>
      <c r="I76" s="419">
        <f>SUMIFS('boc xe'!Z$2:Z$27,'boc xe'!$B$2:$B$27,'chia CN boc xe'!$C76)</f>
        <v>0</v>
      </c>
      <c r="J76" s="419">
        <f>SUMIFS('boc xe'!AA$2:AA$27,'boc xe'!$B$2:$B$27,'chia CN boc xe'!$C76)</f>
        <v>0</v>
      </c>
      <c r="K76" s="419">
        <f>SUMIFS('boc xe'!AB$2:AB$27,'boc xe'!$B$2:$B$27,'chia CN boc xe'!$C76)</f>
        <v>0</v>
      </c>
      <c r="L76" s="419">
        <f>SUMIFS('boc xe'!AC$2:AC$27,'boc xe'!$B$2:$B$27,'chia CN boc xe'!$C76)</f>
        <v>0</v>
      </c>
      <c r="M76" s="419">
        <f>SUMIFS('boc xe'!AD$2:AD$27,'boc xe'!$B$2:$B$27,'chia CN boc xe'!$C76)</f>
        <v>0</v>
      </c>
      <c r="N76" s="419">
        <f>SUMIFS('boc xe'!AE$2:AE$27,'boc xe'!$B$2:$B$27,'chia CN boc xe'!$C76)</f>
        <v>0</v>
      </c>
      <c r="O76" s="419">
        <f>SUMIFS('boc xe'!AF$2:AF$27,'boc xe'!$B$2:$B$27,'chia CN boc xe'!$C76)</f>
        <v>0</v>
      </c>
      <c r="P76" s="419">
        <f>SUMIFS('boc xe'!AG$2:AG$27,'boc xe'!$B$2:$B$27,'chia CN boc xe'!$C76)</f>
        <v>0</v>
      </c>
      <c r="Q76" s="419">
        <f>SUMIFS('boc xe'!AH$2:AH$27,'boc xe'!$B$2:$B$27,'chia CN boc xe'!$C76)</f>
        <v>0</v>
      </c>
      <c r="R76" s="419">
        <f>SUMIFS('boc xe'!AI$2:AI$27,'boc xe'!$B$2:$B$27,'chia CN boc xe'!$C76)</f>
        <v>0</v>
      </c>
      <c r="S76" s="419">
        <f>SUMIFS('boc xe'!AJ$2:AJ$27,'boc xe'!$B$2:$B$27,'chia CN boc xe'!$C76)</f>
        <v>0</v>
      </c>
    </row>
    <row r="77" spans="1:37" ht="15.75" customHeight="1" x14ac:dyDescent="0.25">
      <c r="A77" s="421">
        <f t="shared" si="33"/>
        <v>76</v>
      </c>
      <c r="B77" s="545"/>
      <c r="C77" s="421"/>
      <c r="D77" s="419">
        <f>SUMIFS('boc xe'!U$2:U$27,'boc xe'!$B$2:$B$27,'chia CN boc xe'!$C77)</f>
        <v>0</v>
      </c>
      <c r="E77" s="419">
        <f>SUMIFS('boc xe'!V$2:V$27,'boc xe'!$B$2:$B$27,'chia CN boc xe'!$C77)</f>
        <v>0</v>
      </c>
      <c r="F77" s="419">
        <f>SUMIFS('boc xe'!W$2:W$27,'boc xe'!$B$2:$B$27,'chia CN boc xe'!$C77)</f>
        <v>0</v>
      </c>
      <c r="G77" s="419">
        <f>SUMIFS('boc xe'!X$2:X$27,'boc xe'!$B$2:$B$27,'chia CN boc xe'!$C77)</f>
        <v>0</v>
      </c>
      <c r="H77" s="419">
        <f>SUMIFS('boc xe'!Y$2:Y$27,'boc xe'!$B$2:$B$27,'chia CN boc xe'!$C77)</f>
        <v>0</v>
      </c>
      <c r="I77" s="419">
        <f>SUMIFS('boc xe'!Z$2:Z$27,'boc xe'!$B$2:$B$27,'chia CN boc xe'!$C77)</f>
        <v>0</v>
      </c>
      <c r="J77" s="419">
        <f>SUMIFS('boc xe'!AA$2:AA$27,'boc xe'!$B$2:$B$27,'chia CN boc xe'!$C77)</f>
        <v>0</v>
      </c>
      <c r="K77" s="419">
        <f>SUMIFS('boc xe'!AB$2:AB$27,'boc xe'!$B$2:$B$27,'chia CN boc xe'!$C77)</f>
        <v>0</v>
      </c>
      <c r="L77" s="419">
        <f>SUMIFS('boc xe'!AC$2:AC$27,'boc xe'!$B$2:$B$27,'chia CN boc xe'!$C77)</f>
        <v>0</v>
      </c>
      <c r="M77" s="419">
        <f>SUMIFS('boc xe'!AD$2:AD$27,'boc xe'!$B$2:$B$27,'chia CN boc xe'!$C77)</f>
        <v>0</v>
      </c>
      <c r="N77" s="419">
        <f>SUMIFS('boc xe'!AE$2:AE$27,'boc xe'!$B$2:$B$27,'chia CN boc xe'!$C77)</f>
        <v>0</v>
      </c>
      <c r="O77" s="419">
        <f>SUMIFS('boc xe'!AF$2:AF$27,'boc xe'!$B$2:$B$27,'chia CN boc xe'!$C77)</f>
        <v>0</v>
      </c>
      <c r="P77" s="419">
        <f>SUMIFS('boc xe'!AG$2:AG$27,'boc xe'!$B$2:$B$27,'chia CN boc xe'!$C77)</f>
        <v>0</v>
      </c>
      <c r="Q77" s="419">
        <f>SUMIFS('boc xe'!AH$2:AH$27,'boc xe'!$B$2:$B$27,'chia CN boc xe'!$C77)</f>
        <v>0</v>
      </c>
      <c r="R77" s="419">
        <f>SUMIFS('boc xe'!AI$2:AI$27,'boc xe'!$B$2:$B$27,'chia CN boc xe'!$C77)</f>
        <v>0</v>
      </c>
      <c r="S77" s="419">
        <f>SUMIFS('boc xe'!AJ$2:AJ$27,'boc xe'!$B$2:$B$27,'chia CN boc xe'!$C77)</f>
        <v>0</v>
      </c>
    </row>
    <row r="78" spans="1:37" ht="15.75" customHeight="1" x14ac:dyDescent="0.25">
      <c r="A78" s="421">
        <f t="shared" si="33"/>
        <v>77</v>
      </c>
      <c r="B78" s="545"/>
      <c r="C78" s="421"/>
      <c r="D78" s="419">
        <f>SUMIFS('boc xe'!U$2:U$27,'boc xe'!$B$2:$B$27,'chia CN boc xe'!$C78)</f>
        <v>0</v>
      </c>
      <c r="E78" s="419">
        <f>SUMIFS('boc xe'!V$2:V$27,'boc xe'!$B$2:$B$27,'chia CN boc xe'!$C78)</f>
        <v>0</v>
      </c>
      <c r="F78" s="419">
        <f>SUMIFS('boc xe'!W$2:W$27,'boc xe'!$B$2:$B$27,'chia CN boc xe'!$C78)</f>
        <v>0</v>
      </c>
      <c r="G78" s="419">
        <f>SUMIFS('boc xe'!X$2:X$27,'boc xe'!$B$2:$B$27,'chia CN boc xe'!$C78)</f>
        <v>0</v>
      </c>
      <c r="H78" s="419">
        <f>SUMIFS('boc xe'!Y$2:Y$27,'boc xe'!$B$2:$B$27,'chia CN boc xe'!$C78)</f>
        <v>0</v>
      </c>
      <c r="I78" s="419">
        <f>SUMIFS('boc xe'!Z$2:Z$27,'boc xe'!$B$2:$B$27,'chia CN boc xe'!$C78)</f>
        <v>0</v>
      </c>
      <c r="J78" s="419">
        <f>SUMIFS('boc xe'!AA$2:AA$27,'boc xe'!$B$2:$B$27,'chia CN boc xe'!$C78)</f>
        <v>0</v>
      </c>
      <c r="K78" s="419">
        <f>SUMIFS('boc xe'!AB$2:AB$27,'boc xe'!$B$2:$B$27,'chia CN boc xe'!$C78)</f>
        <v>0</v>
      </c>
      <c r="L78" s="419">
        <f>SUMIFS('boc xe'!AC$2:AC$27,'boc xe'!$B$2:$B$27,'chia CN boc xe'!$C78)</f>
        <v>0</v>
      </c>
      <c r="M78" s="419">
        <f>SUMIFS('boc xe'!AD$2:AD$27,'boc xe'!$B$2:$B$27,'chia CN boc xe'!$C78)</f>
        <v>0</v>
      </c>
      <c r="N78" s="419">
        <f>SUMIFS('boc xe'!AE$2:AE$27,'boc xe'!$B$2:$B$27,'chia CN boc xe'!$C78)</f>
        <v>0</v>
      </c>
      <c r="O78" s="419">
        <f>SUMIFS('boc xe'!AF$2:AF$27,'boc xe'!$B$2:$B$27,'chia CN boc xe'!$C78)</f>
        <v>0</v>
      </c>
      <c r="P78" s="419">
        <f>SUMIFS('boc xe'!AG$2:AG$27,'boc xe'!$B$2:$B$27,'chia CN boc xe'!$C78)</f>
        <v>0</v>
      </c>
      <c r="Q78" s="419">
        <f>SUMIFS('boc xe'!AH$2:AH$27,'boc xe'!$B$2:$B$27,'chia CN boc xe'!$C78)</f>
        <v>0</v>
      </c>
      <c r="R78" s="419">
        <f>SUMIFS('boc xe'!AI$2:AI$27,'boc xe'!$B$2:$B$27,'chia CN boc xe'!$C78)</f>
        <v>0</v>
      </c>
      <c r="S78" s="419">
        <f>SUMIFS('boc xe'!AJ$2:AJ$27,'boc xe'!$B$2:$B$27,'chia CN boc xe'!$C78)</f>
        <v>0</v>
      </c>
    </row>
    <row r="79" spans="1:37" ht="15.75" customHeight="1" x14ac:dyDescent="0.25">
      <c r="A79" s="421">
        <f t="shared" si="33"/>
        <v>78</v>
      </c>
      <c r="B79" s="542"/>
      <c r="C79" s="421"/>
      <c r="D79" s="419">
        <f>SUMIFS('boc xe'!U$2:U$27,'boc xe'!$B$2:$B$27,'chia CN boc xe'!$C79)</f>
        <v>0</v>
      </c>
      <c r="E79" s="419">
        <f>SUMIFS('boc xe'!V$2:V$27,'boc xe'!$B$2:$B$27,'chia CN boc xe'!$C79)</f>
        <v>0</v>
      </c>
      <c r="F79" s="419">
        <f>SUMIFS('boc xe'!W$2:W$27,'boc xe'!$B$2:$B$27,'chia CN boc xe'!$C79)</f>
        <v>0</v>
      </c>
      <c r="G79" s="419">
        <f>SUMIFS('boc xe'!X$2:X$27,'boc xe'!$B$2:$B$27,'chia CN boc xe'!$C79)</f>
        <v>0</v>
      </c>
      <c r="H79" s="419">
        <f>SUMIFS('boc xe'!Y$2:Y$27,'boc xe'!$B$2:$B$27,'chia CN boc xe'!$C79)</f>
        <v>0</v>
      </c>
      <c r="I79" s="419">
        <f>SUMIFS('boc xe'!Z$2:Z$27,'boc xe'!$B$2:$B$27,'chia CN boc xe'!$C79)</f>
        <v>0</v>
      </c>
      <c r="J79" s="419">
        <f>SUMIFS('boc xe'!AA$2:AA$27,'boc xe'!$B$2:$B$27,'chia CN boc xe'!$C79)</f>
        <v>0</v>
      </c>
      <c r="K79" s="419">
        <f>SUMIFS('boc xe'!AB$2:AB$27,'boc xe'!$B$2:$B$27,'chia CN boc xe'!$C79)</f>
        <v>0</v>
      </c>
      <c r="L79" s="419">
        <f>SUMIFS('boc xe'!AC$2:AC$27,'boc xe'!$B$2:$B$27,'chia CN boc xe'!$C79)</f>
        <v>0</v>
      </c>
      <c r="M79" s="419">
        <f>SUMIFS('boc xe'!AD$2:AD$27,'boc xe'!$B$2:$B$27,'chia CN boc xe'!$C79)</f>
        <v>0</v>
      </c>
      <c r="N79" s="419">
        <f>SUMIFS('boc xe'!AE$2:AE$27,'boc xe'!$B$2:$B$27,'chia CN boc xe'!$C79)</f>
        <v>0</v>
      </c>
      <c r="O79" s="419">
        <f>SUMIFS('boc xe'!AF$2:AF$27,'boc xe'!$B$2:$B$27,'chia CN boc xe'!$C79)</f>
        <v>0</v>
      </c>
      <c r="P79" s="419">
        <f>SUMIFS('boc xe'!AG$2:AG$27,'boc xe'!$B$2:$B$27,'chia CN boc xe'!$C79)</f>
        <v>0</v>
      </c>
      <c r="Q79" s="419">
        <f>SUMIFS('boc xe'!AH$2:AH$27,'boc xe'!$B$2:$B$27,'chia CN boc xe'!$C79)</f>
        <v>0</v>
      </c>
      <c r="R79" s="419">
        <f>SUMIFS('boc xe'!AI$2:AI$27,'boc xe'!$B$2:$B$27,'chia CN boc xe'!$C79)</f>
        <v>0</v>
      </c>
      <c r="S79" s="419">
        <f>SUMIFS('boc xe'!AJ$2:AJ$27,'boc xe'!$B$2:$B$27,'chia CN boc xe'!$C79)</f>
        <v>0</v>
      </c>
    </row>
    <row r="80" spans="1:37" ht="15.75" customHeight="1" x14ac:dyDescent="0.25">
      <c r="A80" s="421">
        <f t="shared" si="33"/>
        <v>79</v>
      </c>
      <c r="B80" s="542"/>
      <c r="C80" s="421"/>
      <c r="D80" s="419">
        <f>SUMIFS('boc xe'!U$2:U$27,'boc xe'!$B$2:$B$27,'chia CN boc xe'!$C80)</f>
        <v>0</v>
      </c>
      <c r="E80" s="419">
        <f>SUMIFS('boc xe'!V$2:V$27,'boc xe'!$B$2:$B$27,'chia CN boc xe'!$C80)</f>
        <v>0</v>
      </c>
      <c r="F80" s="419">
        <f>SUMIFS('boc xe'!W$2:W$27,'boc xe'!$B$2:$B$27,'chia CN boc xe'!$C80)</f>
        <v>0</v>
      </c>
      <c r="G80" s="419">
        <f>SUMIFS('boc xe'!X$2:X$27,'boc xe'!$B$2:$B$27,'chia CN boc xe'!$C80)</f>
        <v>0</v>
      </c>
      <c r="H80" s="419">
        <f>SUMIFS('boc xe'!Y$2:Y$27,'boc xe'!$B$2:$B$27,'chia CN boc xe'!$C80)</f>
        <v>0</v>
      </c>
      <c r="I80" s="419">
        <f>SUMIFS('boc xe'!Z$2:Z$27,'boc xe'!$B$2:$B$27,'chia CN boc xe'!$C80)</f>
        <v>0</v>
      </c>
      <c r="J80" s="419">
        <f>SUMIFS('boc xe'!AA$2:AA$27,'boc xe'!$B$2:$B$27,'chia CN boc xe'!$C80)</f>
        <v>0</v>
      </c>
      <c r="K80" s="419">
        <f>SUMIFS('boc xe'!AB$2:AB$27,'boc xe'!$B$2:$B$27,'chia CN boc xe'!$C80)</f>
        <v>0</v>
      </c>
      <c r="L80" s="419">
        <f>SUMIFS('boc xe'!AC$2:AC$27,'boc xe'!$B$2:$B$27,'chia CN boc xe'!$C80)</f>
        <v>0</v>
      </c>
      <c r="M80" s="419">
        <f>SUMIFS('boc xe'!AD$2:AD$27,'boc xe'!$B$2:$B$27,'chia CN boc xe'!$C80)</f>
        <v>0</v>
      </c>
      <c r="N80" s="419">
        <f>SUMIFS('boc xe'!AE$2:AE$27,'boc xe'!$B$2:$B$27,'chia CN boc xe'!$C80)</f>
        <v>0</v>
      </c>
      <c r="O80" s="419">
        <f>SUMIFS('boc xe'!AF$2:AF$27,'boc xe'!$B$2:$B$27,'chia CN boc xe'!$C80)</f>
        <v>0</v>
      </c>
      <c r="P80" s="419">
        <f>SUMIFS('boc xe'!AG$2:AG$27,'boc xe'!$B$2:$B$27,'chia CN boc xe'!$C80)</f>
        <v>0</v>
      </c>
      <c r="Q80" s="419">
        <f>SUMIFS('boc xe'!AH$2:AH$27,'boc xe'!$B$2:$B$27,'chia CN boc xe'!$C80)</f>
        <v>0</v>
      </c>
      <c r="R80" s="419">
        <f>SUMIFS('boc xe'!AI$2:AI$27,'boc xe'!$B$2:$B$27,'chia CN boc xe'!$C80)</f>
        <v>0</v>
      </c>
      <c r="S80" s="419">
        <f>SUMIFS('boc xe'!AJ$2:AJ$27,'boc xe'!$B$2:$B$27,'chia CN boc xe'!$C80)</f>
        <v>0</v>
      </c>
    </row>
    <row r="81" spans="1:19" ht="15.75" customHeight="1" x14ac:dyDescent="0.25">
      <c r="A81" s="421">
        <f t="shared" si="33"/>
        <v>80</v>
      </c>
      <c r="B81" s="542"/>
      <c r="C81" s="421"/>
      <c r="D81" s="419">
        <f>SUMIFS('boc xe'!U$2:U$27,'boc xe'!$B$2:$B$27,'chia CN boc xe'!$C81)</f>
        <v>0</v>
      </c>
      <c r="E81" s="419">
        <f>SUMIFS('boc xe'!V$2:V$27,'boc xe'!$B$2:$B$27,'chia CN boc xe'!$C81)</f>
        <v>0</v>
      </c>
      <c r="F81" s="419">
        <f>SUMIFS('boc xe'!W$2:W$27,'boc xe'!$B$2:$B$27,'chia CN boc xe'!$C81)</f>
        <v>0</v>
      </c>
      <c r="G81" s="419">
        <f>SUMIFS('boc xe'!X$2:X$27,'boc xe'!$B$2:$B$27,'chia CN boc xe'!$C81)</f>
        <v>0</v>
      </c>
      <c r="H81" s="419">
        <f>SUMIFS('boc xe'!Y$2:Y$27,'boc xe'!$B$2:$B$27,'chia CN boc xe'!$C81)</f>
        <v>0</v>
      </c>
      <c r="I81" s="419">
        <f>SUMIFS('boc xe'!Z$2:Z$27,'boc xe'!$B$2:$B$27,'chia CN boc xe'!$C81)</f>
        <v>0</v>
      </c>
      <c r="J81" s="419">
        <f>SUMIFS('boc xe'!AA$2:AA$27,'boc xe'!$B$2:$B$27,'chia CN boc xe'!$C81)</f>
        <v>0</v>
      </c>
      <c r="K81" s="419">
        <f>SUMIFS('boc xe'!AB$2:AB$27,'boc xe'!$B$2:$B$27,'chia CN boc xe'!$C81)</f>
        <v>0</v>
      </c>
      <c r="L81" s="419">
        <f>SUMIFS('boc xe'!AC$2:AC$27,'boc xe'!$B$2:$B$27,'chia CN boc xe'!$C81)</f>
        <v>0</v>
      </c>
      <c r="M81" s="419">
        <f>SUMIFS('boc xe'!AD$2:AD$27,'boc xe'!$B$2:$B$27,'chia CN boc xe'!$C81)</f>
        <v>0</v>
      </c>
      <c r="N81" s="419">
        <f>SUMIFS('boc xe'!AE$2:AE$27,'boc xe'!$B$2:$B$27,'chia CN boc xe'!$C81)</f>
        <v>0</v>
      </c>
      <c r="O81" s="419">
        <f>SUMIFS('boc xe'!AF$2:AF$27,'boc xe'!$B$2:$B$27,'chia CN boc xe'!$C81)</f>
        <v>0</v>
      </c>
      <c r="P81" s="419">
        <f>SUMIFS('boc xe'!AG$2:AG$27,'boc xe'!$B$2:$B$27,'chia CN boc xe'!$C81)</f>
        <v>0</v>
      </c>
      <c r="Q81" s="419">
        <f>SUMIFS('boc xe'!AH$2:AH$27,'boc xe'!$B$2:$B$27,'chia CN boc xe'!$C81)</f>
        <v>0</v>
      </c>
      <c r="R81" s="419">
        <f>SUMIFS('boc xe'!AI$2:AI$27,'boc xe'!$B$2:$B$27,'chia CN boc xe'!$C81)</f>
        <v>0</v>
      </c>
      <c r="S81" s="419">
        <f>SUMIFS('boc xe'!AJ$2:AJ$27,'boc xe'!$B$2:$B$27,'chia CN boc xe'!$C81)</f>
        <v>0</v>
      </c>
    </row>
    <row r="82" spans="1:19" ht="15.75" customHeight="1" x14ac:dyDescent="0.25">
      <c r="A82" s="421">
        <f t="shared" si="33"/>
        <v>81</v>
      </c>
      <c r="B82" s="542"/>
      <c r="C82" s="421"/>
      <c r="D82" s="419">
        <f>SUMIFS('boc xe'!U$2:U$27,'boc xe'!$B$2:$B$27,'chia CN boc xe'!$C82)</f>
        <v>0</v>
      </c>
      <c r="E82" s="419">
        <f>SUMIFS('boc xe'!V$2:V$27,'boc xe'!$B$2:$B$27,'chia CN boc xe'!$C82)</f>
        <v>0</v>
      </c>
      <c r="F82" s="419">
        <f>SUMIFS('boc xe'!W$2:W$27,'boc xe'!$B$2:$B$27,'chia CN boc xe'!$C82)</f>
        <v>0</v>
      </c>
      <c r="G82" s="419">
        <f>SUMIFS('boc xe'!X$2:X$27,'boc xe'!$B$2:$B$27,'chia CN boc xe'!$C82)</f>
        <v>0</v>
      </c>
      <c r="H82" s="419">
        <f>SUMIFS('boc xe'!Y$2:Y$27,'boc xe'!$B$2:$B$27,'chia CN boc xe'!$C82)</f>
        <v>0</v>
      </c>
      <c r="I82" s="419">
        <f>SUMIFS('boc xe'!Z$2:Z$27,'boc xe'!$B$2:$B$27,'chia CN boc xe'!$C82)</f>
        <v>0</v>
      </c>
      <c r="J82" s="419">
        <f>SUMIFS('boc xe'!AA$2:AA$27,'boc xe'!$B$2:$B$27,'chia CN boc xe'!$C82)</f>
        <v>0</v>
      </c>
      <c r="K82" s="419">
        <f>SUMIFS('boc xe'!AB$2:AB$27,'boc xe'!$B$2:$B$27,'chia CN boc xe'!$C82)</f>
        <v>0</v>
      </c>
      <c r="L82" s="419">
        <f>SUMIFS('boc xe'!AC$2:AC$27,'boc xe'!$B$2:$B$27,'chia CN boc xe'!$C82)</f>
        <v>0</v>
      </c>
      <c r="M82" s="419">
        <f>SUMIFS('boc xe'!AD$2:AD$27,'boc xe'!$B$2:$B$27,'chia CN boc xe'!$C82)</f>
        <v>0</v>
      </c>
      <c r="N82" s="419">
        <f>SUMIFS('boc xe'!AE$2:AE$27,'boc xe'!$B$2:$B$27,'chia CN boc xe'!$C82)</f>
        <v>0</v>
      </c>
      <c r="O82" s="419">
        <f>SUMIFS('boc xe'!AF$2:AF$27,'boc xe'!$B$2:$B$27,'chia CN boc xe'!$C82)</f>
        <v>0</v>
      </c>
      <c r="P82" s="419">
        <f>SUMIFS('boc xe'!AG$2:AG$27,'boc xe'!$B$2:$B$27,'chia CN boc xe'!$C82)</f>
        <v>0</v>
      </c>
      <c r="Q82" s="419">
        <f>SUMIFS('boc xe'!AH$2:AH$27,'boc xe'!$B$2:$B$27,'chia CN boc xe'!$C82)</f>
        <v>0</v>
      </c>
      <c r="R82" s="419">
        <f>SUMIFS('boc xe'!AI$2:AI$27,'boc xe'!$B$2:$B$27,'chia CN boc xe'!$C82)</f>
        <v>0</v>
      </c>
      <c r="S82" s="419">
        <f>SUMIFS('boc xe'!AJ$2:AJ$27,'boc xe'!$B$2:$B$27,'chia CN boc xe'!$C82)</f>
        <v>0</v>
      </c>
    </row>
    <row r="83" spans="1:19" ht="15.75" customHeight="1" x14ac:dyDescent="0.25">
      <c r="A83" s="421">
        <f t="shared" si="33"/>
        <v>82</v>
      </c>
      <c r="B83" s="542"/>
      <c r="C83" s="421"/>
      <c r="D83" s="419">
        <f>SUMIFS('boc xe'!U$2:U$27,'boc xe'!$B$2:$B$27,'chia CN boc xe'!$C83)</f>
        <v>0</v>
      </c>
      <c r="E83" s="419">
        <f>SUMIFS('boc xe'!V$2:V$27,'boc xe'!$B$2:$B$27,'chia CN boc xe'!$C83)</f>
        <v>0</v>
      </c>
      <c r="F83" s="419">
        <f>SUMIFS('boc xe'!W$2:W$27,'boc xe'!$B$2:$B$27,'chia CN boc xe'!$C83)</f>
        <v>0</v>
      </c>
      <c r="G83" s="419">
        <f>SUMIFS('boc xe'!X$2:X$27,'boc xe'!$B$2:$B$27,'chia CN boc xe'!$C83)</f>
        <v>0</v>
      </c>
      <c r="H83" s="419">
        <f>SUMIFS('boc xe'!Y$2:Y$27,'boc xe'!$B$2:$B$27,'chia CN boc xe'!$C83)</f>
        <v>0</v>
      </c>
      <c r="I83" s="419">
        <f>SUMIFS('boc xe'!Z$2:Z$27,'boc xe'!$B$2:$B$27,'chia CN boc xe'!$C83)</f>
        <v>0</v>
      </c>
      <c r="J83" s="419">
        <f>SUMIFS('boc xe'!AA$2:AA$27,'boc xe'!$B$2:$B$27,'chia CN boc xe'!$C83)</f>
        <v>0</v>
      </c>
      <c r="K83" s="419">
        <f>SUMIFS('boc xe'!AB$2:AB$27,'boc xe'!$B$2:$B$27,'chia CN boc xe'!$C83)</f>
        <v>0</v>
      </c>
      <c r="L83" s="419">
        <f>SUMIFS('boc xe'!AC$2:AC$27,'boc xe'!$B$2:$B$27,'chia CN boc xe'!$C83)</f>
        <v>0</v>
      </c>
      <c r="M83" s="419">
        <f>SUMIFS('boc xe'!AD$2:AD$27,'boc xe'!$B$2:$B$27,'chia CN boc xe'!$C83)</f>
        <v>0</v>
      </c>
      <c r="N83" s="419">
        <f>SUMIFS('boc xe'!AE$2:AE$27,'boc xe'!$B$2:$B$27,'chia CN boc xe'!$C83)</f>
        <v>0</v>
      </c>
      <c r="O83" s="419">
        <f>SUMIFS('boc xe'!AF$2:AF$27,'boc xe'!$B$2:$B$27,'chia CN boc xe'!$C83)</f>
        <v>0</v>
      </c>
      <c r="P83" s="419">
        <f>SUMIFS('boc xe'!AG$2:AG$27,'boc xe'!$B$2:$B$27,'chia CN boc xe'!$C83)</f>
        <v>0</v>
      </c>
      <c r="Q83" s="419">
        <f>SUMIFS('boc xe'!AH$2:AH$27,'boc xe'!$B$2:$B$27,'chia CN boc xe'!$C83)</f>
        <v>0</v>
      </c>
      <c r="R83" s="419">
        <f>SUMIFS('boc xe'!AI$2:AI$27,'boc xe'!$B$2:$B$27,'chia CN boc xe'!$C83)</f>
        <v>0</v>
      </c>
      <c r="S83" s="419">
        <f>SUMIFS('boc xe'!AJ$2:AJ$27,'boc xe'!$B$2:$B$27,'chia CN boc xe'!$C83)</f>
        <v>0</v>
      </c>
    </row>
    <row r="84" spans="1:19" ht="15.75" customHeight="1" x14ac:dyDescent="0.25">
      <c r="A84" s="421">
        <f t="shared" si="33"/>
        <v>83</v>
      </c>
      <c r="B84" s="552"/>
      <c r="C84" s="421"/>
      <c r="D84" s="419">
        <f>SUMIFS('boc xe'!U$2:U$27,'boc xe'!$B$2:$B$27,'chia CN boc xe'!$C84)</f>
        <v>0</v>
      </c>
      <c r="E84" s="419">
        <f>SUMIFS('boc xe'!V$2:V$27,'boc xe'!$B$2:$B$27,'chia CN boc xe'!$C84)</f>
        <v>0</v>
      </c>
      <c r="F84" s="419">
        <f>SUMIFS('boc xe'!W$2:W$27,'boc xe'!$B$2:$B$27,'chia CN boc xe'!$C84)</f>
        <v>0</v>
      </c>
      <c r="G84" s="419">
        <f>SUMIFS('boc xe'!X$2:X$27,'boc xe'!$B$2:$B$27,'chia CN boc xe'!$C84)</f>
        <v>0</v>
      </c>
      <c r="H84" s="419">
        <f>SUMIFS('boc xe'!Y$2:Y$27,'boc xe'!$B$2:$B$27,'chia CN boc xe'!$C84)</f>
        <v>0</v>
      </c>
      <c r="I84" s="419">
        <f>SUMIFS('boc xe'!Z$2:Z$27,'boc xe'!$B$2:$B$27,'chia CN boc xe'!$C84)</f>
        <v>0</v>
      </c>
      <c r="J84" s="419">
        <f>SUMIFS('boc xe'!AA$2:AA$27,'boc xe'!$B$2:$B$27,'chia CN boc xe'!$C84)</f>
        <v>0</v>
      </c>
      <c r="K84" s="419">
        <f>SUMIFS('boc xe'!AB$2:AB$27,'boc xe'!$B$2:$B$27,'chia CN boc xe'!$C84)</f>
        <v>0</v>
      </c>
      <c r="L84" s="419">
        <f>SUMIFS('boc xe'!AC$2:AC$27,'boc xe'!$B$2:$B$27,'chia CN boc xe'!$C84)</f>
        <v>0</v>
      </c>
      <c r="M84" s="419">
        <f>SUMIFS('boc xe'!AD$2:AD$27,'boc xe'!$B$2:$B$27,'chia CN boc xe'!$C84)</f>
        <v>0</v>
      </c>
      <c r="N84" s="419">
        <f>SUMIFS('boc xe'!AE$2:AE$27,'boc xe'!$B$2:$B$27,'chia CN boc xe'!$C84)</f>
        <v>0</v>
      </c>
      <c r="O84" s="419">
        <f>SUMIFS('boc xe'!AF$2:AF$27,'boc xe'!$B$2:$B$27,'chia CN boc xe'!$C84)</f>
        <v>0</v>
      </c>
      <c r="P84" s="419">
        <f>SUMIFS('boc xe'!AG$2:AG$27,'boc xe'!$B$2:$B$27,'chia CN boc xe'!$C84)</f>
        <v>0</v>
      </c>
      <c r="Q84" s="419">
        <f>SUMIFS('boc xe'!AH$2:AH$27,'boc xe'!$B$2:$B$27,'chia CN boc xe'!$C84)</f>
        <v>0</v>
      </c>
      <c r="R84" s="419">
        <f>SUMIFS('boc xe'!AI$2:AI$27,'boc xe'!$B$2:$B$27,'chia CN boc xe'!$C84)</f>
        <v>0</v>
      </c>
      <c r="S84" s="419">
        <f>SUMIFS('boc xe'!AJ$2:AJ$27,'boc xe'!$B$2:$B$27,'chia CN boc xe'!$C84)</f>
        <v>0</v>
      </c>
    </row>
    <row r="85" spans="1:19" ht="15.75" customHeight="1" x14ac:dyDescent="0.25">
      <c r="A85" s="421">
        <f t="shared" si="33"/>
        <v>84</v>
      </c>
      <c r="B85" s="552"/>
      <c r="C85" s="421"/>
      <c r="D85" s="419">
        <f>SUMIFS('boc xe'!U$2:U$27,'boc xe'!$B$2:$B$27,'chia CN boc xe'!$C85)</f>
        <v>0</v>
      </c>
      <c r="E85" s="419">
        <f>SUMIFS('boc xe'!V$2:V$27,'boc xe'!$B$2:$B$27,'chia CN boc xe'!$C85)</f>
        <v>0</v>
      </c>
      <c r="F85" s="419">
        <f>SUMIFS('boc xe'!W$2:W$27,'boc xe'!$B$2:$B$27,'chia CN boc xe'!$C85)</f>
        <v>0</v>
      </c>
      <c r="G85" s="419">
        <f>SUMIFS('boc xe'!X$2:X$27,'boc xe'!$B$2:$B$27,'chia CN boc xe'!$C85)</f>
        <v>0</v>
      </c>
      <c r="H85" s="419">
        <f>SUMIFS('boc xe'!Y$2:Y$27,'boc xe'!$B$2:$B$27,'chia CN boc xe'!$C85)</f>
        <v>0</v>
      </c>
      <c r="I85" s="419">
        <f>SUMIFS('boc xe'!Z$2:Z$27,'boc xe'!$B$2:$B$27,'chia CN boc xe'!$C85)</f>
        <v>0</v>
      </c>
      <c r="J85" s="419">
        <f>SUMIFS('boc xe'!AA$2:AA$27,'boc xe'!$B$2:$B$27,'chia CN boc xe'!$C85)</f>
        <v>0</v>
      </c>
      <c r="K85" s="419">
        <f>SUMIFS('boc xe'!AB$2:AB$27,'boc xe'!$B$2:$B$27,'chia CN boc xe'!$C85)</f>
        <v>0</v>
      </c>
      <c r="L85" s="419">
        <f>SUMIFS('boc xe'!AC$2:AC$27,'boc xe'!$B$2:$B$27,'chia CN boc xe'!$C85)</f>
        <v>0</v>
      </c>
      <c r="M85" s="419">
        <f>SUMIFS('boc xe'!AD$2:AD$27,'boc xe'!$B$2:$B$27,'chia CN boc xe'!$C85)</f>
        <v>0</v>
      </c>
      <c r="N85" s="419">
        <f>SUMIFS('boc xe'!AE$2:AE$27,'boc xe'!$B$2:$B$27,'chia CN boc xe'!$C85)</f>
        <v>0</v>
      </c>
      <c r="O85" s="419">
        <f>SUMIFS('boc xe'!AF$2:AF$27,'boc xe'!$B$2:$B$27,'chia CN boc xe'!$C85)</f>
        <v>0</v>
      </c>
      <c r="P85" s="419">
        <f>SUMIFS('boc xe'!AG$2:AG$27,'boc xe'!$B$2:$B$27,'chia CN boc xe'!$C85)</f>
        <v>0</v>
      </c>
      <c r="Q85" s="419">
        <f>SUMIFS('boc xe'!AH$2:AH$27,'boc xe'!$B$2:$B$27,'chia CN boc xe'!$C85)</f>
        <v>0</v>
      </c>
      <c r="R85" s="419">
        <f>SUMIFS('boc xe'!AI$2:AI$27,'boc xe'!$B$2:$B$27,'chia CN boc xe'!$C85)</f>
        <v>0</v>
      </c>
      <c r="S85" s="419">
        <f>SUMIFS('boc xe'!AJ$2:AJ$27,'boc xe'!$B$2:$B$27,'chia CN boc xe'!$C85)</f>
        <v>0</v>
      </c>
    </row>
    <row r="86" spans="1:19" ht="15.75" customHeight="1" x14ac:dyDescent="0.25">
      <c r="A86" s="421">
        <f t="shared" si="33"/>
        <v>85</v>
      </c>
      <c r="B86" s="552"/>
      <c r="C86" s="421"/>
      <c r="D86" s="419">
        <f>SUMIFS('boc xe'!U$2:U$27,'boc xe'!$B$2:$B$27,'chia CN boc xe'!$C86)</f>
        <v>0</v>
      </c>
      <c r="E86" s="419">
        <f>SUMIFS('boc xe'!V$2:V$27,'boc xe'!$B$2:$B$27,'chia CN boc xe'!$C86)</f>
        <v>0</v>
      </c>
      <c r="F86" s="419">
        <f>SUMIFS('boc xe'!W$2:W$27,'boc xe'!$B$2:$B$27,'chia CN boc xe'!$C86)</f>
        <v>0</v>
      </c>
      <c r="G86" s="419">
        <f>SUMIFS('boc xe'!X$2:X$27,'boc xe'!$B$2:$B$27,'chia CN boc xe'!$C86)</f>
        <v>0</v>
      </c>
      <c r="H86" s="419">
        <f>SUMIFS('boc xe'!Y$2:Y$27,'boc xe'!$B$2:$B$27,'chia CN boc xe'!$C86)</f>
        <v>0</v>
      </c>
      <c r="I86" s="419">
        <f>SUMIFS('boc xe'!Z$2:Z$27,'boc xe'!$B$2:$B$27,'chia CN boc xe'!$C86)</f>
        <v>0</v>
      </c>
      <c r="J86" s="419">
        <f>SUMIFS('boc xe'!AA$2:AA$27,'boc xe'!$B$2:$B$27,'chia CN boc xe'!$C86)</f>
        <v>0</v>
      </c>
      <c r="K86" s="419">
        <f>SUMIFS('boc xe'!AB$2:AB$27,'boc xe'!$B$2:$B$27,'chia CN boc xe'!$C86)</f>
        <v>0</v>
      </c>
      <c r="L86" s="419">
        <f>SUMIFS('boc xe'!AC$2:AC$27,'boc xe'!$B$2:$B$27,'chia CN boc xe'!$C86)</f>
        <v>0</v>
      </c>
      <c r="M86" s="419">
        <f>SUMIFS('boc xe'!AD$2:AD$27,'boc xe'!$B$2:$B$27,'chia CN boc xe'!$C86)</f>
        <v>0</v>
      </c>
      <c r="N86" s="419">
        <f>SUMIFS('boc xe'!AE$2:AE$27,'boc xe'!$B$2:$B$27,'chia CN boc xe'!$C86)</f>
        <v>0</v>
      </c>
      <c r="O86" s="419">
        <f>SUMIFS('boc xe'!AF$2:AF$27,'boc xe'!$B$2:$B$27,'chia CN boc xe'!$C86)</f>
        <v>0</v>
      </c>
      <c r="P86" s="419">
        <f>SUMIFS('boc xe'!AG$2:AG$27,'boc xe'!$B$2:$B$27,'chia CN boc xe'!$C86)</f>
        <v>0</v>
      </c>
      <c r="Q86" s="419">
        <f>SUMIFS('boc xe'!AH$2:AH$27,'boc xe'!$B$2:$B$27,'chia CN boc xe'!$C86)</f>
        <v>0</v>
      </c>
      <c r="R86" s="419">
        <f>SUMIFS('boc xe'!AI$2:AI$27,'boc xe'!$B$2:$B$27,'chia CN boc xe'!$C86)</f>
        <v>0</v>
      </c>
      <c r="S86" s="419">
        <f>SUMIFS('boc xe'!AJ$2:AJ$27,'boc xe'!$B$2:$B$27,'chia CN boc xe'!$C86)</f>
        <v>0</v>
      </c>
    </row>
    <row r="87" spans="1:19" ht="15.75" customHeight="1" x14ac:dyDescent="0.25">
      <c r="A87" s="421">
        <f t="shared" si="33"/>
        <v>86</v>
      </c>
      <c r="B87" s="552"/>
      <c r="C87" s="421"/>
      <c r="D87" s="419">
        <f>SUMIFS('boc xe'!U$2:U$27,'boc xe'!$B$2:$B$27,'chia CN boc xe'!$C87)</f>
        <v>0</v>
      </c>
      <c r="E87" s="419">
        <f>SUMIFS('boc xe'!V$2:V$27,'boc xe'!$B$2:$B$27,'chia CN boc xe'!$C87)</f>
        <v>0</v>
      </c>
      <c r="F87" s="419">
        <f>SUMIFS('boc xe'!W$2:W$27,'boc xe'!$B$2:$B$27,'chia CN boc xe'!$C87)</f>
        <v>0</v>
      </c>
      <c r="G87" s="419">
        <f>SUMIFS('boc xe'!X$2:X$27,'boc xe'!$B$2:$B$27,'chia CN boc xe'!$C87)</f>
        <v>0</v>
      </c>
      <c r="H87" s="419">
        <f>SUMIFS('boc xe'!Y$2:Y$27,'boc xe'!$B$2:$B$27,'chia CN boc xe'!$C87)</f>
        <v>0</v>
      </c>
      <c r="I87" s="419">
        <f>SUMIFS('boc xe'!Z$2:Z$27,'boc xe'!$B$2:$B$27,'chia CN boc xe'!$C87)</f>
        <v>0</v>
      </c>
      <c r="J87" s="419">
        <f>SUMIFS('boc xe'!AA$2:AA$27,'boc xe'!$B$2:$B$27,'chia CN boc xe'!$C87)</f>
        <v>0</v>
      </c>
      <c r="K87" s="419">
        <f>SUMIFS('boc xe'!AB$2:AB$27,'boc xe'!$B$2:$B$27,'chia CN boc xe'!$C87)</f>
        <v>0</v>
      </c>
      <c r="L87" s="419">
        <f>SUMIFS('boc xe'!AC$2:AC$27,'boc xe'!$B$2:$B$27,'chia CN boc xe'!$C87)</f>
        <v>0</v>
      </c>
      <c r="M87" s="419">
        <f>SUMIFS('boc xe'!AD$2:AD$27,'boc xe'!$B$2:$B$27,'chia CN boc xe'!$C87)</f>
        <v>0</v>
      </c>
      <c r="N87" s="419">
        <f>SUMIFS('boc xe'!AE$2:AE$27,'boc xe'!$B$2:$B$27,'chia CN boc xe'!$C87)</f>
        <v>0</v>
      </c>
      <c r="O87" s="419">
        <f>SUMIFS('boc xe'!AF$2:AF$27,'boc xe'!$B$2:$B$27,'chia CN boc xe'!$C87)</f>
        <v>0</v>
      </c>
      <c r="P87" s="419">
        <f>SUMIFS('boc xe'!AG$2:AG$27,'boc xe'!$B$2:$B$27,'chia CN boc xe'!$C87)</f>
        <v>0</v>
      </c>
      <c r="Q87" s="419">
        <f>SUMIFS('boc xe'!AH$2:AH$27,'boc xe'!$B$2:$B$27,'chia CN boc xe'!$C87)</f>
        <v>0</v>
      </c>
      <c r="R87" s="419">
        <f>SUMIFS('boc xe'!AI$2:AI$27,'boc xe'!$B$2:$B$27,'chia CN boc xe'!$C87)</f>
        <v>0</v>
      </c>
      <c r="S87" s="419">
        <f>SUMIFS('boc xe'!AJ$2:AJ$27,'boc xe'!$B$2:$B$27,'chia CN boc xe'!$C87)</f>
        <v>0</v>
      </c>
    </row>
    <row r="88" spans="1:19" ht="15.75" customHeight="1" x14ac:dyDescent="0.25">
      <c r="A88" s="421">
        <f t="shared" si="33"/>
        <v>87</v>
      </c>
      <c r="B88" s="552"/>
      <c r="C88" s="421"/>
      <c r="D88" s="419">
        <f>SUMIFS('boc xe'!U$2:U$27,'boc xe'!$B$2:$B$27,'chia CN boc xe'!$C88)</f>
        <v>0</v>
      </c>
      <c r="E88" s="419">
        <f>SUMIFS('boc xe'!V$2:V$27,'boc xe'!$B$2:$B$27,'chia CN boc xe'!$C88)</f>
        <v>0</v>
      </c>
      <c r="F88" s="419">
        <f>SUMIFS('boc xe'!W$2:W$27,'boc xe'!$B$2:$B$27,'chia CN boc xe'!$C88)</f>
        <v>0</v>
      </c>
      <c r="G88" s="419">
        <f>SUMIFS('boc xe'!X$2:X$27,'boc xe'!$B$2:$B$27,'chia CN boc xe'!$C88)</f>
        <v>0</v>
      </c>
      <c r="H88" s="419">
        <f>SUMIFS('boc xe'!Y$2:Y$27,'boc xe'!$B$2:$B$27,'chia CN boc xe'!$C88)</f>
        <v>0</v>
      </c>
      <c r="I88" s="419">
        <f>SUMIFS('boc xe'!Z$2:Z$27,'boc xe'!$B$2:$B$27,'chia CN boc xe'!$C88)</f>
        <v>0</v>
      </c>
      <c r="J88" s="419">
        <f>SUMIFS('boc xe'!AA$2:AA$27,'boc xe'!$B$2:$B$27,'chia CN boc xe'!$C88)</f>
        <v>0</v>
      </c>
      <c r="K88" s="419">
        <f>SUMIFS('boc xe'!AB$2:AB$27,'boc xe'!$B$2:$B$27,'chia CN boc xe'!$C88)</f>
        <v>0</v>
      </c>
      <c r="L88" s="419">
        <f>SUMIFS('boc xe'!AC$2:AC$27,'boc xe'!$B$2:$B$27,'chia CN boc xe'!$C88)</f>
        <v>0</v>
      </c>
      <c r="M88" s="419">
        <f>SUMIFS('boc xe'!AD$2:AD$27,'boc xe'!$B$2:$B$27,'chia CN boc xe'!$C88)</f>
        <v>0</v>
      </c>
      <c r="N88" s="419">
        <f>SUMIFS('boc xe'!AE$2:AE$27,'boc xe'!$B$2:$B$27,'chia CN boc xe'!$C88)</f>
        <v>0</v>
      </c>
      <c r="O88" s="419">
        <f>SUMIFS('boc xe'!AF$2:AF$27,'boc xe'!$B$2:$B$27,'chia CN boc xe'!$C88)</f>
        <v>0</v>
      </c>
      <c r="P88" s="419">
        <f>SUMIFS('boc xe'!AG$2:AG$27,'boc xe'!$B$2:$B$27,'chia CN boc xe'!$C88)</f>
        <v>0</v>
      </c>
      <c r="Q88" s="419">
        <f>SUMIFS('boc xe'!AH$2:AH$27,'boc xe'!$B$2:$B$27,'chia CN boc xe'!$C88)</f>
        <v>0</v>
      </c>
      <c r="R88" s="419">
        <f>SUMIFS('boc xe'!AI$2:AI$27,'boc xe'!$B$2:$B$27,'chia CN boc xe'!$C88)</f>
        <v>0</v>
      </c>
      <c r="S88" s="419">
        <f>SUMIFS('boc xe'!AJ$2:AJ$27,'boc xe'!$B$2:$B$27,'chia CN boc xe'!$C88)</f>
        <v>0</v>
      </c>
    </row>
    <row r="89" spans="1:19" ht="15.75" customHeight="1" x14ac:dyDescent="0.25">
      <c r="A89" s="421">
        <f t="shared" si="33"/>
        <v>88</v>
      </c>
      <c r="B89" s="552"/>
      <c r="C89" s="421"/>
      <c r="D89" s="419">
        <f>SUMIFS('boc xe'!U$2:U$27,'boc xe'!$B$2:$B$27,'chia CN boc xe'!$C89)</f>
        <v>0</v>
      </c>
      <c r="E89" s="419">
        <f>SUMIFS('boc xe'!V$2:V$27,'boc xe'!$B$2:$B$27,'chia CN boc xe'!$C89)</f>
        <v>0</v>
      </c>
      <c r="F89" s="419">
        <f>SUMIFS('boc xe'!W$2:W$27,'boc xe'!$B$2:$B$27,'chia CN boc xe'!$C89)</f>
        <v>0</v>
      </c>
      <c r="G89" s="419">
        <f>SUMIFS('boc xe'!X$2:X$27,'boc xe'!$B$2:$B$27,'chia CN boc xe'!$C89)</f>
        <v>0</v>
      </c>
      <c r="H89" s="419">
        <f>SUMIFS('boc xe'!Y$2:Y$27,'boc xe'!$B$2:$B$27,'chia CN boc xe'!$C89)</f>
        <v>0</v>
      </c>
      <c r="I89" s="419">
        <f>SUMIFS('boc xe'!Z$2:Z$27,'boc xe'!$B$2:$B$27,'chia CN boc xe'!$C89)</f>
        <v>0</v>
      </c>
      <c r="J89" s="419">
        <f>SUMIFS('boc xe'!AA$2:AA$27,'boc xe'!$B$2:$B$27,'chia CN boc xe'!$C89)</f>
        <v>0</v>
      </c>
      <c r="K89" s="419">
        <f>SUMIFS('boc xe'!AB$2:AB$27,'boc xe'!$B$2:$B$27,'chia CN boc xe'!$C89)</f>
        <v>0</v>
      </c>
      <c r="L89" s="419">
        <f>SUMIFS('boc xe'!AC$2:AC$27,'boc xe'!$B$2:$B$27,'chia CN boc xe'!$C89)</f>
        <v>0</v>
      </c>
      <c r="M89" s="419">
        <f>SUMIFS('boc xe'!AD$2:AD$27,'boc xe'!$B$2:$B$27,'chia CN boc xe'!$C89)</f>
        <v>0</v>
      </c>
      <c r="N89" s="419">
        <f>SUMIFS('boc xe'!AE$2:AE$27,'boc xe'!$B$2:$B$27,'chia CN boc xe'!$C89)</f>
        <v>0</v>
      </c>
      <c r="O89" s="419">
        <f>SUMIFS('boc xe'!AF$2:AF$27,'boc xe'!$B$2:$B$27,'chia CN boc xe'!$C89)</f>
        <v>0</v>
      </c>
      <c r="P89" s="419">
        <f>SUMIFS('boc xe'!AG$2:AG$27,'boc xe'!$B$2:$B$27,'chia CN boc xe'!$C89)</f>
        <v>0</v>
      </c>
      <c r="Q89" s="419">
        <f>SUMIFS('boc xe'!AH$2:AH$27,'boc xe'!$B$2:$B$27,'chia CN boc xe'!$C89)</f>
        <v>0</v>
      </c>
      <c r="R89" s="419">
        <f>SUMIFS('boc xe'!AI$2:AI$27,'boc xe'!$B$2:$B$27,'chia CN boc xe'!$C89)</f>
        <v>0</v>
      </c>
      <c r="S89" s="419">
        <f>SUMIFS('boc xe'!AJ$2:AJ$27,'boc xe'!$B$2:$B$27,'chia CN boc xe'!$C89)</f>
        <v>0</v>
      </c>
    </row>
    <row r="90" spans="1:19" ht="15.75" customHeight="1" x14ac:dyDescent="0.25">
      <c r="A90" s="421">
        <f t="shared" si="33"/>
        <v>89</v>
      </c>
      <c r="B90" s="552"/>
      <c r="C90" s="421"/>
      <c r="D90" s="419">
        <f>SUMIFS('boc xe'!U$2:U$27,'boc xe'!$B$2:$B$27,'chia CN boc xe'!$C90)</f>
        <v>0</v>
      </c>
      <c r="E90" s="419">
        <f>SUMIFS('boc xe'!V$2:V$27,'boc xe'!$B$2:$B$27,'chia CN boc xe'!$C90)</f>
        <v>0</v>
      </c>
      <c r="F90" s="419">
        <f>SUMIFS('boc xe'!W$2:W$27,'boc xe'!$B$2:$B$27,'chia CN boc xe'!$C90)</f>
        <v>0</v>
      </c>
      <c r="G90" s="419">
        <f>SUMIFS('boc xe'!X$2:X$27,'boc xe'!$B$2:$B$27,'chia CN boc xe'!$C90)</f>
        <v>0</v>
      </c>
      <c r="H90" s="419">
        <f>SUMIFS('boc xe'!Y$2:Y$27,'boc xe'!$B$2:$B$27,'chia CN boc xe'!$C90)</f>
        <v>0</v>
      </c>
      <c r="I90" s="419">
        <f>SUMIFS('boc xe'!Z$2:Z$27,'boc xe'!$B$2:$B$27,'chia CN boc xe'!$C90)</f>
        <v>0</v>
      </c>
      <c r="J90" s="419">
        <f>SUMIFS('boc xe'!AA$2:AA$27,'boc xe'!$B$2:$B$27,'chia CN boc xe'!$C90)</f>
        <v>0</v>
      </c>
      <c r="K90" s="419">
        <f>SUMIFS('boc xe'!AB$2:AB$27,'boc xe'!$B$2:$B$27,'chia CN boc xe'!$C90)</f>
        <v>0</v>
      </c>
      <c r="L90" s="419">
        <f>SUMIFS('boc xe'!AC$2:AC$27,'boc xe'!$B$2:$B$27,'chia CN boc xe'!$C90)</f>
        <v>0</v>
      </c>
      <c r="M90" s="419">
        <f>SUMIFS('boc xe'!AD$2:AD$27,'boc xe'!$B$2:$B$27,'chia CN boc xe'!$C90)</f>
        <v>0</v>
      </c>
      <c r="N90" s="419">
        <f>SUMIFS('boc xe'!AE$2:AE$27,'boc xe'!$B$2:$B$27,'chia CN boc xe'!$C90)</f>
        <v>0</v>
      </c>
      <c r="O90" s="419">
        <f>SUMIFS('boc xe'!AF$2:AF$27,'boc xe'!$B$2:$B$27,'chia CN boc xe'!$C90)</f>
        <v>0</v>
      </c>
      <c r="P90" s="419">
        <f>SUMIFS('boc xe'!AG$2:AG$27,'boc xe'!$B$2:$B$27,'chia CN boc xe'!$C90)</f>
        <v>0</v>
      </c>
      <c r="Q90" s="419">
        <f>SUMIFS('boc xe'!AH$2:AH$27,'boc xe'!$B$2:$B$27,'chia CN boc xe'!$C90)</f>
        <v>0</v>
      </c>
      <c r="R90" s="419">
        <f>SUMIFS('boc xe'!AI$2:AI$27,'boc xe'!$B$2:$B$27,'chia CN boc xe'!$C90)</f>
        <v>0</v>
      </c>
      <c r="S90" s="419">
        <f>SUMIFS('boc xe'!AJ$2:AJ$27,'boc xe'!$B$2:$B$27,'chia CN boc xe'!$C90)</f>
        <v>0</v>
      </c>
    </row>
    <row r="91" spans="1:19" ht="15.75" customHeight="1" x14ac:dyDescent="0.25">
      <c r="A91" s="421">
        <f t="shared" si="33"/>
        <v>90</v>
      </c>
      <c r="B91" s="552"/>
      <c r="C91" s="421"/>
      <c r="D91" s="419">
        <f>SUMIFS('boc xe'!U$2:U$27,'boc xe'!$B$2:$B$27,'chia CN boc xe'!$C91)</f>
        <v>0</v>
      </c>
      <c r="E91" s="419">
        <f>SUMIFS('boc xe'!V$2:V$27,'boc xe'!$B$2:$B$27,'chia CN boc xe'!$C91)</f>
        <v>0</v>
      </c>
      <c r="F91" s="419">
        <f>SUMIFS('boc xe'!W$2:W$27,'boc xe'!$B$2:$B$27,'chia CN boc xe'!$C91)</f>
        <v>0</v>
      </c>
      <c r="G91" s="419">
        <f>SUMIFS('boc xe'!X$2:X$27,'boc xe'!$B$2:$B$27,'chia CN boc xe'!$C91)</f>
        <v>0</v>
      </c>
      <c r="H91" s="419">
        <f>SUMIFS('boc xe'!Y$2:Y$27,'boc xe'!$B$2:$B$27,'chia CN boc xe'!$C91)</f>
        <v>0</v>
      </c>
      <c r="I91" s="419">
        <f>SUMIFS('boc xe'!Z$2:Z$27,'boc xe'!$B$2:$B$27,'chia CN boc xe'!$C91)</f>
        <v>0</v>
      </c>
      <c r="J91" s="419">
        <f>SUMIFS('boc xe'!AA$2:AA$27,'boc xe'!$B$2:$B$27,'chia CN boc xe'!$C91)</f>
        <v>0</v>
      </c>
      <c r="K91" s="419">
        <f>SUMIFS('boc xe'!AB$2:AB$27,'boc xe'!$B$2:$B$27,'chia CN boc xe'!$C91)</f>
        <v>0</v>
      </c>
      <c r="L91" s="419">
        <f>SUMIFS('boc xe'!AC$2:AC$27,'boc xe'!$B$2:$B$27,'chia CN boc xe'!$C91)</f>
        <v>0</v>
      </c>
      <c r="M91" s="419">
        <f>SUMIFS('boc xe'!AD$2:AD$27,'boc xe'!$B$2:$B$27,'chia CN boc xe'!$C91)</f>
        <v>0</v>
      </c>
      <c r="N91" s="419">
        <f>SUMIFS('boc xe'!AE$2:AE$27,'boc xe'!$B$2:$B$27,'chia CN boc xe'!$C91)</f>
        <v>0</v>
      </c>
      <c r="O91" s="419">
        <f>SUMIFS('boc xe'!AF$2:AF$27,'boc xe'!$B$2:$B$27,'chia CN boc xe'!$C91)</f>
        <v>0</v>
      </c>
      <c r="P91" s="419">
        <f>SUMIFS('boc xe'!AG$2:AG$27,'boc xe'!$B$2:$B$27,'chia CN boc xe'!$C91)</f>
        <v>0</v>
      </c>
      <c r="Q91" s="419">
        <f>SUMIFS('boc xe'!AH$2:AH$27,'boc xe'!$B$2:$B$27,'chia CN boc xe'!$C91)</f>
        <v>0</v>
      </c>
      <c r="R91" s="419">
        <f>SUMIFS('boc xe'!AI$2:AI$27,'boc xe'!$B$2:$B$27,'chia CN boc xe'!$C91)</f>
        <v>0</v>
      </c>
      <c r="S91" s="419">
        <f>SUMIFS('boc xe'!AJ$2:AJ$27,'boc xe'!$B$2:$B$27,'chia CN boc xe'!$C91)</f>
        <v>0</v>
      </c>
    </row>
    <row r="92" spans="1:19" ht="15.75" customHeight="1" x14ac:dyDescent="0.25">
      <c r="A92" s="421">
        <f t="shared" si="33"/>
        <v>91</v>
      </c>
      <c r="B92" s="552"/>
      <c r="C92" s="421"/>
      <c r="D92" s="419">
        <f>SUMIFS('boc xe'!U$2:U$27,'boc xe'!$B$2:$B$27,'chia CN boc xe'!$C92)</f>
        <v>0</v>
      </c>
      <c r="E92" s="419">
        <f>SUMIFS('boc xe'!V$2:V$27,'boc xe'!$B$2:$B$27,'chia CN boc xe'!$C92)</f>
        <v>0</v>
      </c>
      <c r="F92" s="419">
        <f>SUMIFS('boc xe'!W$2:W$27,'boc xe'!$B$2:$B$27,'chia CN boc xe'!$C92)</f>
        <v>0</v>
      </c>
      <c r="G92" s="419">
        <f>SUMIFS('boc xe'!X$2:X$27,'boc xe'!$B$2:$B$27,'chia CN boc xe'!$C92)</f>
        <v>0</v>
      </c>
      <c r="H92" s="419">
        <f>SUMIFS('boc xe'!Y$2:Y$27,'boc xe'!$B$2:$B$27,'chia CN boc xe'!$C92)</f>
        <v>0</v>
      </c>
      <c r="I92" s="419">
        <f>SUMIFS('boc xe'!Z$2:Z$27,'boc xe'!$B$2:$B$27,'chia CN boc xe'!$C92)</f>
        <v>0</v>
      </c>
      <c r="J92" s="419">
        <f>SUMIFS('boc xe'!AA$2:AA$27,'boc xe'!$B$2:$B$27,'chia CN boc xe'!$C92)</f>
        <v>0</v>
      </c>
      <c r="K92" s="419">
        <f>SUMIFS('boc xe'!AB$2:AB$27,'boc xe'!$B$2:$B$27,'chia CN boc xe'!$C92)</f>
        <v>0</v>
      </c>
      <c r="L92" s="419">
        <f>SUMIFS('boc xe'!AC$2:AC$27,'boc xe'!$B$2:$B$27,'chia CN boc xe'!$C92)</f>
        <v>0</v>
      </c>
      <c r="M92" s="419">
        <f>SUMIFS('boc xe'!AD$2:AD$27,'boc xe'!$B$2:$B$27,'chia CN boc xe'!$C92)</f>
        <v>0</v>
      </c>
      <c r="N92" s="419">
        <f>SUMIFS('boc xe'!AE$2:AE$27,'boc xe'!$B$2:$B$27,'chia CN boc xe'!$C92)</f>
        <v>0</v>
      </c>
      <c r="O92" s="419">
        <f>SUMIFS('boc xe'!AF$2:AF$27,'boc xe'!$B$2:$B$27,'chia CN boc xe'!$C92)</f>
        <v>0</v>
      </c>
      <c r="P92" s="419">
        <f>SUMIFS('boc xe'!AG$2:AG$27,'boc xe'!$B$2:$B$27,'chia CN boc xe'!$C92)</f>
        <v>0</v>
      </c>
      <c r="Q92" s="419">
        <f>SUMIFS('boc xe'!AH$2:AH$27,'boc xe'!$B$2:$B$27,'chia CN boc xe'!$C92)</f>
        <v>0</v>
      </c>
      <c r="R92" s="419">
        <f>SUMIFS('boc xe'!AI$2:AI$27,'boc xe'!$B$2:$B$27,'chia CN boc xe'!$C92)</f>
        <v>0</v>
      </c>
      <c r="S92" s="419">
        <f>SUMIFS('boc xe'!AJ$2:AJ$27,'boc xe'!$B$2:$B$27,'chia CN boc xe'!$C92)</f>
        <v>0</v>
      </c>
    </row>
    <row r="93" spans="1:19" ht="15.75" customHeight="1" x14ac:dyDescent="0.25">
      <c r="A93" s="421">
        <f t="shared" si="33"/>
        <v>92</v>
      </c>
      <c r="B93" s="552"/>
      <c r="C93" s="421"/>
      <c r="D93" s="419">
        <f>SUMIFS('boc xe'!U$2:U$27,'boc xe'!$B$2:$B$27,'chia CN boc xe'!$C93)</f>
        <v>0</v>
      </c>
      <c r="E93" s="419">
        <f>SUMIFS('boc xe'!V$2:V$27,'boc xe'!$B$2:$B$27,'chia CN boc xe'!$C93)</f>
        <v>0</v>
      </c>
      <c r="F93" s="419">
        <f>SUMIFS('boc xe'!W$2:W$27,'boc xe'!$B$2:$B$27,'chia CN boc xe'!$C93)</f>
        <v>0</v>
      </c>
      <c r="G93" s="419">
        <f>SUMIFS('boc xe'!X$2:X$27,'boc xe'!$B$2:$B$27,'chia CN boc xe'!$C93)</f>
        <v>0</v>
      </c>
      <c r="H93" s="419">
        <f>SUMIFS('boc xe'!Y$2:Y$27,'boc xe'!$B$2:$B$27,'chia CN boc xe'!$C93)</f>
        <v>0</v>
      </c>
      <c r="I93" s="419">
        <f>SUMIFS('boc xe'!Z$2:Z$27,'boc xe'!$B$2:$B$27,'chia CN boc xe'!$C93)</f>
        <v>0</v>
      </c>
      <c r="J93" s="419">
        <f>SUMIFS('boc xe'!AA$2:AA$27,'boc xe'!$B$2:$B$27,'chia CN boc xe'!$C93)</f>
        <v>0</v>
      </c>
      <c r="K93" s="419">
        <f>SUMIFS('boc xe'!AB$2:AB$27,'boc xe'!$B$2:$B$27,'chia CN boc xe'!$C93)</f>
        <v>0</v>
      </c>
      <c r="L93" s="419">
        <f>SUMIFS('boc xe'!AC$2:AC$27,'boc xe'!$B$2:$B$27,'chia CN boc xe'!$C93)</f>
        <v>0</v>
      </c>
      <c r="M93" s="419">
        <f>SUMIFS('boc xe'!AD$2:AD$27,'boc xe'!$B$2:$B$27,'chia CN boc xe'!$C93)</f>
        <v>0</v>
      </c>
      <c r="N93" s="419">
        <f>SUMIFS('boc xe'!AE$2:AE$27,'boc xe'!$B$2:$B$27,'chia CN boc xe'!$C93)</f>
        <v>0</v>
      </c>
      <c r="O93" s="419">
        <f>SUMIFS('boc xe'!AF$2:AF$27,'boc xe'!$B$2:$B$27,'chia CN boc xe'!$C93)</f>
        <v>0</v>
      </c>
      <c r="P93" s="419">
        <f>SUMIFS('boc xe'!AG$2:AG$27,'boc xe'!$B$2:$B$27,'chia CN boc xe'!$C93)</f>
        <v>0</v>
      </c>
      <c r="Q93" s="419">
        <f>SUMIFS('boc xe'!AH$2:AH$27,'boc xe'!$B$2:$B$27,'chia CN boc xe'!$C93)</f>
        <v>0</v>
      </c>
      <c r="R93" s="419">
        <f>SUMIFS('boc xe'!AI$2:AI$27,'boc xe'!$B$2:$B$27,'chia CN boc xe'!$C93)</f>
        <v>0</v>
      </c>
      <c r="S93" s="419">
        <f>SUMIFS('boc xe'!AJ$2:AJ$27,'boc xe'!$B$2:$B$27,'chia CN boc xe'!$C93)</f>
        <v>0</v>
      </c>
    </row>
    <row r="94" spans="1:19" ht="15.75" customHeight="1" x14ac:dyDescent="0.25">
      <c r="A94" s="421">
        <f t="shared" si="33"/>
        <v>93</v>
      </c>
      <c r="B94" s="552"/>
      <c r="C94" s="421"/>
      <c r="D94" s="419">
        <f>SUMIFS('boc xe'!U$2:U$27,'boc xe'!$B$2:$B$27,'chia CN boc xe'!$C94)</f>
        <v>0</v>
      </c>
      <c r="E94" s="419">
        <f>SUMIFS('boc xe'!V$2:V$27,'boc xe'!$B$2:$B$27,'chia CN boc xe'!$C94)</f>
        <v>0</v>
      </c>
      <c r="F94" s="419">
        <f>SUMIFS('boc xe'!W$2:W$27,'boc xe'!$B$2:$B$27,'chia CN boc xe'!$C94)</f>
        <v>0</v>
      </c>
      <c r="G94" s="419">
        <f>SUMIFS('boc xe'!X$2:X$27,'boc xe'!$B$2:$B$27,'chia CN boc xe'!$C94)</f>
        <v>0</v>
      </c>
      <c r="H94" s="419">
        <f>SUMIFS('boc xe'!Y$2:Y$27,'boc xe'!$B$2:$B$27,'chia CN boc xe'!$C94)</f>
        <v>0</v>
      </c>
      <c r="I94" s="419">
        <f>SUMIFS('boc xe'!Z$2:Z$27,'boc xe'!$B$2:$B$27,'chia CN boc xe'!$C94)</f>
        <v>0</v>
      </c>
      <c r="J94" s="419">
        <f>SUMIFS('boc xe'!AA$2:AA$27,'boc xe'!$B$2:$B$27,'chia CN boc xe'!$C94)</f>
        <v>0</v>
      </c>
      <c r="K94" s="419">
        <f>SUMIFS('boc xe'!AB$2:AB$27,'boc xe'!$B$2:$B$27,'chia CN boc xe'!$C94)</f>
        <v>0</v>
      </c>
      <c r="L94" s="419">
        <f>SUMIFS('boc xe'!AC$2:AC$27,'boc xe'!$B$2:$B$27,'chia CN boc xe'!$C94)</f>
        <v>0</v>
      </c>
      <c r="M94" s="419">
        <f>SUMIFS('boc xe'!AD$2:AD$27,'boc xe'!$B$2:$B$27,'chia CN boc xe'!$C94)</f>
        <v>0</v>
      </c>
      <c r="N94" s="419">
        <f>SUMIFS('boc xe'!AE$2:AE$27,'boc xe'!$B$2:$B$27,'chia CN boc xe'!$C94)</f>
        <v>0</v>
      </c>
      <c r="O94" s="419">
        <f>SUMIFS('boc xe'!AF$2:AF$27,'boc xe'!$B$2:$B$27,'chia CN boc xe'!$C94)</f>
        <v>0</v>
      </c>
      <c r="P94" s="419">
        <f>SUMIFS('boc xe'!AG$2:AG$27,'boc xe'!$B$2:$B$27,'chia CN boc xe'!$C94)</f>
        <v>0</v>
      </c>
      <c r="Q94" s="419">
        <f>SUMIFS('boc xe'!AH$2:AH$27,'boc xe'!$B$2:$B$27,'chia CN boc xe'!$C94)</f>
        <v>0</v>
      </c>
      <c r="R94" s="419">
        <f>SUMIFS('boc xe'!AI$2:AI$27,'boc xe'!$B$2:$B$27,'chia CN boc xe'!$C94)</f>
        <v>0</v>
      </c>
      <c r="S94" s="419">
        <f>SUMIFS('boc xe'!AJ$2:AJ$27,'boc xe'!$B$2:$B$27,'chia CN boc xe'!$C94)</f>
        <v>0</v>
      </c>
    </row>
    <row r="95" spans="1:19" ht="15.75" customHeight="1" x14ac:dyDescent="0.25">
      <c r="A95" s="421">
        <f t="shared" si="33"/>
        <v>94</v>
      </c>
      <c r="B95" s="552"/>
      <c r="C95" s="421"/>
      <c r="D95" s="419">
        <f>SUMIFS('boc xe'!U$2:U$27,'boc xe'!$B$2:$B$27,'chia CN boc xe'!$C95)</f>
        <v>0</v>
      </c>
      <c r="E95" s="419">
        <f>SUMIFS('boc xe'!V$2:V$27,'boc xe'!$B$2:$B$27,'chia CN boc xe'!$C95)</f>
        <v>0</v>
      </c>
      <c r="F95" s="419">
        <f>SUMIFS('boc xe'!W$2:W$27,'boc xe'!$B$2:$B$27,'chia CN boc xe'!$C95)</f>
        <v>0</v>
      </c>
      <c r="G95" s="419">
        <f>SUMIFS('boc xe'!X$2:X$27,'boc xe'!$B$2:$B$27,'chia CN boc xe'!$C95)</f>
        <v>0</v>
      </c>
      <c r="H95" s="419">
        <f>SUMIFS('boc xe'!Y$2:Y$27,'boc xe'!$B$2:$B$27,'chia CN boc xe'!$C95)</f>
        <v>0</v>
      </c>
      <c r="I95" s="419">
        <f>SUMIFS('boc xe'!Z$2:Z$27,'boc xe'!$B$2:$B$27,'chia CN boc xe'!$C95)</f>
        <v>0</v>
      </c>
      <c r="J95" s="419">
        <f>SUMIFS('boc xe'!AA$2:AA$27,'boc xe'!$B$2:$B$27,'chia CN boc xe'!$C95)</f>
        <v>0</v>
      </c>
      <c r="K95" s="419">
        <f>SUMIFS('boc xe'!AB$2:AB$27,'boc xe'!$B$2:$B$27,'chia CN boc xe'!$C95)</f>
        <v>0</v>
      </c>
      <c r="L95" s="419">
        <f>SUMIFS('boc xe'!AC$2:AC$27,'boc xe'!$B$2:$B$27,'chia CN boc xe'!$C95)</f>
        <v>0</v>
      </c>
      <c r="M95" s="419">
        <f>SUMIFS('boc xe'!AD$2:AD$27,'boc xe'!$B$2:$B$27,'chia CN boc xe'!$C95)</f>
        <v>0</v>
      </c>
      <c r="N95" s="419">
        <f>SUMIFS('boc xe'!AE$2:AE$27,'boc xe'!$B$2:$B$27,'chia CN boc xe'!$C95)</f>
        <v>0</v>
      </c>
      <c r="O95" s="419">
        <f>SUMIFS('boc xe'!AF$2:AF$27,'boc xe'!$B$2:$B$27,'chia CN boc xe'!$C95)</f>
        <v>0</v>
      </c>
      <c r="P95" s="419">
        <f>SUMIFS('boc xe'!AG$2:AG$27,'boc xe'!$B$2:$B$27,'chia CN boc xe'!$C95)</f>
        <v>0</v>
      </c>
      <c r="Q95" s="419">
        <f>SUMIFS('boc xe'!AH$2:AH$27,'boc xe'!$B$2:$B$27,'chia CN boc xe'!$C95)</f>
        <v>0</v>
      </c>
      <c r="R95" s="419">
        <f>SUMIFS('boc xe'!AI$2:AI$27,'boc xe'!$B$2:$B$27,'chia CN boc xe'!$C95)</f>
        <v>0</v>
      </c>
      <c r="S95" s="419">
        <f>SUMIFS('boc xe'!AJ$2:AJ$27,'boc xe'!$B$2:$B$27,'chia CN boc xe'!$C95)</f>
        <v>0</v>
      </c>
    </row>
    <row r="96" spans="1:19" ht="15.75" customHeight="1" x14ac:dyDescent="0.25">
      <c r="A96" s="421">
        <f t="shared" si="33"/>
        <v>95</v>
      </c>
      <c r="B96" s="552"/>
      <c r="C96" s="421"/>
      <c r="D96" s="419">
        <f>SUMIFS('boc xe'!U$2:U$27,'boc xe'!$B$2:$B$27,'chia CN boc xe'!$C96)</f>
        <v>0</v>
      </c>
      <c r="E96" s="419">
        <f>SUMIFS('boc xe'!V$2:V$27,'boc xe'!$B$2:$B$27,'chia CN boc xe'!$C96)</f>
        <v>0</v>
      </c>
      <c r="F96" s="419">
        <f>SUMIFS('boc xe'!W$2:W$27,'boc xe'!$B$2:$B$27,'chia CN boc xe'!$C96)</f>
        <v>0</v>
      </c>
      <c r="G96" s="419">
        <f>SUMIFS('boc xe'!X$2:X$27,'boc xe'!$B$2:$B$27,'chia CN boc xe'!$C96)</f>
        <v>0</v>
      </c>
      <c r="H96" s="419">
        <f>SUMIFS('boc xe'!Y$2:Y$27,'boc xe'!$B$2:$B$27,'chia CN boc xe'!$C96)</f>
        <v>0</v>
      </c>
      <c r="I96" s="419">
        <f>SUMIFS('boc xe'!Z$2:Z$27,'boc xe'!$B$2:$B$27,'chia CN boc xe'!$C96)</f>
        <v>0</v>
      </c>
      <c r="J96" s="419">
        <f>SUMIFS('boc xe'!AA$2:AA$27,'boc xe'!$B$2:$B$27,'chia CN boc xe'!$C96)</f>
        <v>0</v>
      </c>
      <c r="K96" s="419">
        <f>SUMIFS('boc xe'!AB$2:AB$27,'boc xe'!$B$2:$B$27,'chia CN boc xe'!$C96)</f>
        <v>0</v>
      </c>
      <c r="L96" s="419">
        <f>SUMIFS('boc xe'!AC$2:AC$27,'boc xe'!$B$2:$B$27,'chia CN boc xe'!$C96)</f>
        <v>0</v>
      </c>
      <c r="M96" s="419">
        <f>SUMIFS('boc xe'!AD$2:AD$27,'boc xe'!$B$2:$B$27,'chia CN boc xe'!$C96)</f>
        <v>0</v>
      </c>
      <c r="N96" s="419">
        <f>SUMIFS('boc xe'!AE$2:AE$27,'boc xe'!$B$2:$B$27,'chia CN boc xe'!$C96)</f>
        <v>0</v>
      </c>
      <c r="O96" s="419">
        <f>SUMIFS('boc xe'!AF$2:AF$27,'boc xe'!$B$2:$B$27,'chia CN boc xe'!$C96)</f>
        <v>0</v>
      </c>
      <c r="P96" s="419">
        <f>SUMIFS('boc xe'!AG$2:AG$27,'boc xe'!$B$2:$B$27,'chia CN boc xe'!$C96)</f>
        <v>0</v>
      </c>
      <c r="Q96" s="419">
        <f>SUMIFS('boc xe'!AH$2:AH$27,'boc xe'!$B$2:$B$27,'chia CN boc xe'!$C96)</f>
        <v>0</v>
      </c>
      <c r="R96" s="419">
        <f>SUMIFS('boc xe'!AI$2:AI$27,'boc xe'!$B$2:$B$27,'chia CN boc xe'!$C96)</f>
        <v>0</v>
      </c>
      <c r="S96" s="419">
        <f>SUMIFS('boc xe'!AJ$2:AJ$27,'boc xe'!$B$2:$B$27,'chia CN boc xe'!$C96)</f>
        <v>0</v>
      </c>
    </row>
    <row r="97" spans="1:19" ht="15.75" customHeight="1" x14ac:dyDescent="0.25">
      <c r="A97" s="421">
        <f t="shared" si="33"/>
        <v>96</v>
      </c>
      <c r="B97" s="552"/>
      <c r="C97" s="421"/>
      <c r="D97" s="419">
        <f>SUMIFS('boc xe'!U$2:U$27,'boc xe'!$B$2:$B$27,'chia CN boc xe'!$C97)</f>
        <v>0</v>
      </c>
      <c r="E97" s="419">
        <f>SUMIFS('boc xe'!V$2:V$27,'boc xe'!$B$2:$B$27,'chia CN boc xe'!$C97)</f>
        <v>0</v>
      </c>
      <c r="F97" s="419">
        <f>SUMIFS('boc xe'!W$2:W$27,'boc xe'!$B$2:$B$27,'chia CN boc xe'!$C97)</f>
        <v>0</v>
      </c>
      <c r="G97" s="419">
        <f>SUMIFS('boc xe'!X$2:X$27,'boc xe'!$B$2:$B$27,'chia CN boc xe'!$C97)</f>
        <v>0</v>
      </c>
      <c r="H97" s="419">
        <f>SUMIFS('boc xe'!Y$2:Y$27,'boc xe'!$B$2:$B$27,'chia CN boc xe'!$C97)</f>
        <v>0</v>
      </c>
      <c r="I97" s="419">
        <f>SUMIFS('boc xe'!Z$2:Z$27,'boc xe'!$B$2:$B$27,'chia CN boc xe'!$C97)</f>
        <v>0</v>
      </c>
      <c r="J97" s="419">
        <f>SUMIFS('boc xe'!AA$2:AA$27,'boc xe'!$B$2:$B$27,'chia CN boc xe'!$C97)</f>
        <v>0</v>
      </c>
      <c r="K97" s="419">
        <f>SUMIFS('boc xe'!AB$2:AB$27,'boc xe'!$B$2:$B$27,'chia CN boc xe'!$C97)</f>
        <v>0</v>
      </c>
      <c r="L97" s="419">
        <f>SUMIFS('boc xe'!AC$2:AC$27,'boc xe'!$B$2:$B$27,'chia CN boc xe'!$C97)</f>
        <v>0</v>
      </c>
      <c r="M97" s="419">
        <f>SUMIFS('boc xe'!AD$2:AD$27,'boc xe'!$B$2:$B$27,'chia CN boc xe'!$C97)</f>
        <v>0</v>
      </c>
      <c r="N97" s="419">
        <f>SUMIFS('boc xe'!AE$2:AE$27,'boc xe'!$B$2:$B$27,'chia CN boc xe'!$C97)</f>
        <v>0</v>
      </c>
      <c r="O97" s="419">
        <f>SUMIFS('boc xe'!AF$2:AF$27,'boc xe'!$B$2:$B$27,'chia CN boc xe'!$C97)</f>
        <v>0</v>
      </c>
      <c r="P97" s="419">
        <f>SUMIFS('boc xe'!AG$2:AG$27,'boc xe'!$B$2:$B$27,'chia CN boc xe'!$C97)</f>
        <v>0</v>
      </c>
      <c r="Q97" s="419">
        <f>SUMIFS('boc xe'!AH$2:AH$27,'boc xe'!$B$2:$B$27,'chia CN boc xe'!$C97)</f>
        <v>0</v>
      </c>
      <c r="R97" s="419">
        <f>SUMIFS('boc xe'!AI$2:AI$27,'boc xe'!$B$2:$B$27,'chia CN boc xe'!$C97)</f>
        <v>0</v>
      </c>
      <c r="S97" s="419">
        <f>SUMIFS('boc xe'!AJ$2:AJ$27,'boc xe'!$B$2:$B$27,'chia CN boc xe'!$C97)</f>
        <v>0</v>
      </c>
    </row>
    <row r="98" spans="1:19" ht="15.75" customHeight="1" x14ac:dyDescent="0.25">
      <c r="A98" s="421">
        <f t="shared" si="33"/>
        <v>97</v>
      </c>
      <c r="B98" s="552"/>
      <c r="C98" s="421"/>
      <c r="D98" s="419">
        <f>SUMIFS('boc xe'!U$2:U$27,'boc xe'!$B$2:$B$27,'chia CN boc xe'!$C98)</f>
        <v>0</v>
      </c>
      <c r="E98" s="419">
        <f>SUMIFS('boc xe'!V$2:V$27,'boc xe'!$B$2:$B$27,'chia CN boc xe'!$C98)</f>
        <v>0</v>
      </c>
      <c r="F98" s="419">
        <f>SUMIFS('boc xe'!W$2:W$27,'boc xe'!$B$2:$B$27,'chia CN boc xe'!$C98)</f>
        <v>0</v>
      </c>
      <c r="G98" s="419">
        <f>SUMIFS('boc xe'!X$2:X$27,'boc xe'!$B$2:$B$27,'chia CN boc xe'!$C98)</f>
        <v>0</v>
      </c>
      <c r="H98" s="419">
        <f>SUMIFS('boc xe'!Y$2:Y$27,'boc xe'!$B$2:$B$27,'chia CN boc xe'!$C98)</f>
        <v>0</v>
      </c>
      <c r="I98" s="419">
        <f>SUMIFS('boc xe'!Z$2:Z$27,'boc xe'!$B$2:$B$27,'chia CN boc xe'!$C98)</f>
        <v>0</v>
      </c>
      <c r="J98" s="419">
        <f>SUMIFS('boc xe'!AA$2:AA$27,'boc xe'!$B$2:$B$27,'chia CN boc xe'!$C98)</f>
        <v>0</v>
      </c>
      <c r="K98" s="419">
        <f>SUMIFS('boc xe'!AB$2:AB$27,'boc xe'!$B$2:$B$27,'chia CN boc xe'!$C98)</f>
        <v>0</v>
      </c>
      <c r="L98" s="419">
        <f>SUMIFS('boc xe'!AC$2:AC$27,'boc xe'!$B$2:$B$27,'chia CN boc xe'!$C98)</f>
        <v>0</v>
      </c>
      <c r="M98" s="419">
        <f>SUMIFS('boc xe'!AD$2:AD$27,'boc xe'!$B$2:$B$27,'chia CN boc xe'!$C98)</f>
        <v>0</v>
      </c>
      <c r="N98" s="419">
        <f>SUMIFS('boc xe'!AE$2:AE$27,'boc xe'!$B$2:$B$27,'chia CN boc xe'!$C98)</f>
        <v>0</v>
      </c>
      <c r="O98" s="419">
        <f>SUMIFS('boc xe'!AF$2:AF$27,'boc xe'!$B$2:$B$27,'chia CN boc xe'!$C98)</f>
        <v>0</v>
      </c>
      <c r="P98" s="419">
        <f>SUMIFS('boc xe'!AG$2:AG$27,'boc xe'!$B$2:$B$27,'chia CN boc xe'!$C98)</f>
        <v>0</v>
      </c>
      <c r="Q98" s="419">
        <f>SUMIFS('boc xe'!AH$2:AH$27,'boc xe'!$B$2:$B$27,'chia CN boc xe'!$C98)</f>
        <v>0</v>
      </c>
      <c r="R98" s="419">
        <f>SUMIFS('boc xe'!AI$2:AI$27,'boc xe'!$B$2:$B$27,'chia CN boc xe'!$C98)</f>
        <v>0</v>
      </c>
      <c r="S98" s="419">
        <f>SUMIFS('boc xe'!AJ$2:AJ$27,'boc xe'!$B$2:$B$27,'chia CN boc xe'!$C98)</f>
        <v>0</v>
      </c>
    </row>
    <row r="99" spans="1:19" ht="15.75" customHeight="1" x14ac:dyDescent="0.25">
      <c r="A99" s="421">
        <f t="shared" si="33"/>
        <v>98</v>
      </c>
      <c r="B99" s="552"/>
      <c r="C99" s="421"/>
      <c r="D99" s="419">
        <f>SUMIFS('boc xe'!U$2:U$27,'boc xe'!$B$2:$B$27,'chia CN boc xe'!$C99)</f>
        <v>0</v>
      </c>
      <c r="E99" s="419">
        <f>SUMIFS('boc xe'!V$2:V$27,'boc xe'!$B$2:$B$27,'chia CN boc xe'!$C99)</f>
        <v>0</v>
      </c>
      <c r="F99" s="419">
        <f>SUMIFS('boc xe'!W$2:W$27,'boc xe'!$B$2:$B$27,'chia CN boc xe'!$C99)</f>
        <v>0</v>
      </c>
      <c r="G99" s="419">
        <f>SUMIFS('boc xe'!X$2:X$27,'boc xe'!$B$2:$B$27,'chia CN boc xe'!$C99)</f>
        <v>0</v>
      </c>
      <c r="H99" s="419">
        <f>SUMIFS('boc xe'!Y$2:Y$27,'boc xe'!$B$2:$B$27,'chia CN boc xe'!$C99)</f>
        <v>0</v>
      </c>
      <c r="I99" s="419">
        <f>SUMIFS('boc xe'!Z$2:Z$27,'boc xe'!$B$2:$B$27,'chia CN boc xe'!$C99)</f>
        <v>0</v>
      </c>
      <c r="J99" s="419">
        <f>SUMIFS('boc xe'!AA$2:AA$27,'boc xe'!$B$2:$B$27,'chia CN boc xe'!$C99)</f>
        <v>0</v>
      </c>
      <c r="K99" s="419">
        <f>SUMIFS('boc xe'!AB$2:AB$27,'boc xe'!$B$2:$B$27,'chia CN boc xe'!$C99)</f>
        <v>0</v>
      </c>
      <c r="L99" s="419">
        <f>SUMIFS('boc xe'!AC$2:AC$27,'boc xe'!$B$2:$B$27,'chia CN boc xe'!$C99)</f>
        <v>0</v>
      </c>
      <c r="M99" s="419">
        <f>SUMIFS('boc xe'!AD$2:AD$27,'boc xe'!$B$2:$B$27,'chia CN boc xe'!$C99)</f>
        <v>0</v>
      </c>
      <c r="N99" s="419">
        <f>SUMIFS('boc xe'!AE$2:AE$27,'boc xe'!$B$2:$B$27,'chia CN boc xe'!$C99)</f>
        <v>0</v>
      </c>
      <c r="O99" s="419">
        <f>SUMIFS('boc xe'!AF$2:AF$27,'boc xe'!$B$2:$B$27,'chia CN boc xe'!$C99)</f>
        <v>0</v>
      </c>
      <c r="P99" s="419">
        <f>SUMIFS('boc xe'!AG$2:AG$27,'boc xe'!$B$2:$B$27,'chia CN boc xe'!$C99)</f>
        <v>0</v>
      </c>
      <c r="Q99" s="419">
        <f>SUMIFS('boc xe'!AH$2:AH$27,'boc xe'!$B$2:$B$27,'chia CN boc xe'!$C99)</f>
        <v>0</v>
      </c>
      <c r="R99" s="419">
        <f>SUMIFS('boc xe'!AI$2:AI$27,'boc xe'!$B$2:$B$27,'chia CN boc xe'!$C99)</f>
        <v>0</v>
      </c>
      <c r="S99" s="419">
        <f>SUMIFS('boc xe'!AJ$2:AJ$27,'boc xe'!$B$2:$B$27,'chia CN boc xe'!$C99)</f>
        <v>0</v>
      </c>
    </row>
    <row r="100" spans="1:19" ht="15.75" customHeight="1" x14ac:dyDescent="0.25">
      <c r="A100" s="421">
        <f t="shared" si="33"/>
        <v>99</v>
      </c>
      <c r="B100" s="552"/>
      <c r="C100" s="421"/>
      <c r="D100" s="419">
        <f>SUMIFS('boc xe'!U$2:U$27,'boc xe'!$B$2:$B$27,'chia CN boc xe'!$C100)</f>
        <v>0</v>
      </c>
      <c r="E100" s="419">
        <f>SUMIFS('boc xe'!V$2:V$27,'boc xe'!$B$2:$B$27,'chia CN boc xe'!$C100)</f>
        <v>0</v>
      </c>
      <c r="F100" s="419">
        <f>SUMIFS('boc xe'!W$2:W$27,'boc xe'!$B$2:$B$27,'chia CN boc xe'!$C100)</f>
        <v>0</v>
      </c>
      <c r="G100" s="419">
        <f>SUMIFS('boc xe'!X$2:X$27,'boc xe'!$B$2:$B$27,'chia CN boc xe'!$C100)</f>
        <v>0</v>
      </c>
      <c r="H100" s="419">
        <f>SUMIFS('boc xe'!Y$2:Y$27,'boc xe'!$B$2:$B$27,'chia CN boc xe'!$C100)</f>
        <v>0</v>
      </c>
      <c r="I100" s="419">
        <f>SUMIFS('boc xe'!Z$2:Z$27,'boc xe'!$B$2:$B$27,'chia CN boc xe'!$C100)</f>
        <v>0</v>
      </c>
      <c r="J100" s="419">
        <f>SUMIFS('boc xe'!AA$2:AA$27,'boc xe'!$B$2:$B$27,'chia CN boc xe'!$C100)</f>
        <v>0</v>
      </c>
      <c r="K100" s="419">
        <f>SUMIFS('boc xe'!AB$2:AB$27,'boc xe'!$B$2:$B$27,'chia CN boc xe'!$C100)</f>
        <v>0</v>
      </c>
      <c r="L100" s="419">
        <f>SUMIFS('boc xe'!AC$2:AC$27,'boc xe'!$B$2:$B$27,'chia CN boc xe'!$C100)</f>
        <v>0</v>
      </c>
      <c r="M100" s="419">
        <f>SUMIFS('boc xe'!AD$2:AD$27,'boc xe'!$B$2:$B$27,'chia CN boc xe'!$C100)</f>
        <v>0</v>
      </c>
      <c r="N100" s="419">
        <f>SUMIFS('boc xe'!AE$2:AE$27,'boc xe'!$B$2:$B$27,'chia CN boc xe'!$C100)</f>
        <v>0</v>
      </c>
      <c r="O100" s="419">
        <f>SUMIFS('boc xe'!AF$2:AF$27,'boc xe'!$B$2:$B$27,'chia CN boc xe'!$C100)</f>
        <v>0</v>
      </c>
      <c r="P100" s="419">
        <f>SUMIFS('boc xe'!AG$2:AG$27,'boc xe'!$B$2:$B$27,'chia CN boc xe'!$C100)</f>
        <v>0</v>
      </c>
      <c r="Q100" s="419">
        <f>SUMIFS('boc xe'!AH$2:AH$27,'boc xe'!$B$2:$B$27,'chia CN boc xe'!$C100)</f>
        <v>0</v>
      </c>
      <c r="R100" s="419">
        <f>SUMIFS('boc xe'!AI$2:AI$27,'boc xe'!$B$2:$B$27,'chia CN boc xe'!$C100)</f>
        <v>0</v>
      </c>
      <c r="S100" s="419">
        <f>SUMIFS('boc xe'!AJ$2:AJ$27,'boc xe'!$B$2:$B$27,'chia CN boc xe'!$C100)</f>
        <v>0</v>
      </c>
    </row>
    <row r="101" spans="1:19" ht="15.75" customHeight="1" x14ac:dyDescent="0.25">
      <c r="A101" s="421">
        <f t="shared" si="33"/>
        <v>100</v>
      </c>
      <c r="B101" s="552"/>
      <c r="C101" s="421"/>
      <c r="D101" s="419">
        <f>SUMIFS('boc xe'!U$2:U$27,'boc xe'!$B$2:$B$27,'chia CN boc xe'!$C101)</f>
        <v>0</v>
      </c>
      <c r="E101" s="419">
        <f>SUMIFS('boc xe'!V$2:V$27,'boc xe'!$B$2:$B$27,'chia CN boc xe'!$C101)</f>
        <v>0</v>
      </c>
      <c r="F101" s="419">
        <f>SUMIFS('boc xe'!W$2:W$27,'boc xe'!$B$2:$B$27,'chia CN boc xe'!$C101)</f>
        <v>0</v>
      </c>
      <c r="G101" s="419">
        <f>SUMIFS('boc xe'!X$2:X$27,'boc xe'!$B$2:$B$27,'chia CN boc xe'!$C101)</f>
        <v>0</v>
      </c>
      <c r="H101" s="419">
        <f>SUMIFS('boc xe'!Y$2:Y$27,'boc xe'!$B$2:$B$27,'chia CN boc xe'!$C101)</f>
        <v>0</v>
      </c>
      <c r="I101" s="419">
        <f>SUMIFS('boc xe'!Z$2:Z$27,'boc xe'!$B$2:$B$27,'chia CN boc xe'!$C101)</f>
        <v>0</v>
      </c>
      <c r="J101" s="419">
        <f>SUMIFS('boc xe'!AA$2:AA$27,'boc xe'!$B$2:$B$27,'chia CN boc xe'!$C101)</f>
        <v>0</v>
      </c>
      <c r="K101" s="419">
        <f>SUMIFS('boc xe'!AB$2:AB$27,'boc xe'!$B$2:$B$27,'chia CN boc xe'!$C101)</f>
        <v>0</v>
      </c>
      <c r="L101" s="419">
        <f>SUMIFS('boc xe'!AC$2:AC$27,'boc xe'!$B$2:$B$27,'chia CN boc xe'!$C101)</f>
        <v>0</v>
      </c>
      <c r="M101" s="419">
        <f>SUMIFS('boc xe'!AD$2:AD$27,'boc xe'!$B$2:$B$27,'chia CN boc xe'!$C101)</f>
        <v>0</v>
      </c>
      <c r="N101" s="419">
        <f>SUMIFS('boc xe'!AE$2:AE$27,'boc xe'!$B$2:$B$27,'chia CN boc xe'!$C101)</f>
        <v>0</v>
      </c>
      <c r="O101" s="419">
        <f>SUMIFS('boc xe'!AF$2:AF$27,'boc xe'!$B$2:$B$27,'chia CN boc xe'!$C101)</f>
        <v>0</v>
      </c>
      <c r="P101" s="419">
        <f>SUMIFS('boc xe'!AG$2:AG$27,'boc xe'!$B$2:$B$27,'chia CN boc xe'!$C101)</f>
        <v>0</v>
      </c>
      <c r="Q101" s="419">
        <f>SUMIFS('boc xe'!AH$2:AH$27,'boc xe'!$B$2:$B$27,'chia CN boc xe'!$C101)</f>
        <v>0</v>
      </c>
      <c r="R101" s="419">
        <f>SUMIFS('boc xe'!AI$2:AI$27,'boc xe'!$B$2:$B$27,'chia CN boc xe'!$C101)</f>
        <v>0</v>
      </c>
      <c r="S101" s="419">
        <f>SUMIFS('boc xe'!AJ$2:AJ$27,'boc xe'!$B$2:$B$27,'chia CN boc xe'!$C101)</f>
        <v>0</v>
      </c>
    </row>
    <row r="102" spans="1:19" ht="15.75" customHeight="1" x14ac:dyDescent="0.25">
      <c r="A102" s="421">
        <f t="shared" si="33"/>
        <v>101</v>
      </c>
      <c r="B102" s="552"/>
      <c r="C102" s="421"/>
      <c r="D102" s="419">
        <f>SUMIFS('boc xe'!U$2:U$27,'boc xe'!$B$2:$B$27,'chia CN boc xe'!$C102)</f>
        <v>0</v>
      </c>
      <c r="E102" s="419">
        <f>SUMIFS('boc xe'!V$2:V$27,'boc xe'!$B$2:$B$27,'chia CN boc xe'!$C102)</f>
        <v>0</v>
      </c>
      <c r="F102" s="419">
        <f>SUMIFS('boc xe'!W$2:W$27,'boc xe'!$B$2:$B$27,'chia CN boc xe'!$C102)</f>
        <v>0</v>
      </c>
      <c r="G102" s="419">
        <f>SUMIFS('boc xe'!X$2:X$27,'boc xe'!$B$2:$B$27,'chia CN boc xe'!$C102)</f>
        <v>0</v>
      </c>
      <c r="H102" s="419">
        <f>SUMIFS('boc xe'!Y$2:Y$27,'boc xe'!$B$2:$B$27,'chia CN boc xe'!$C102)</f>
        <v>0</v>
      </c>
      <c r="I102" s="419">
        <f>SUMIFS('boc xe'!Z$2:Z$27,'boc xe'!$B$2:$B$27,'chia CN boc xe'!$C102)</f>
        <v>0</v>
      </c>
      <c r="J102" s="419">
        <f>SUMIFS('boc xe'!AA$2:AA$27,'boc xe'!$B$2:$B$27,'chia CN boc xe'!$C102)</f>
        <v>0</v>
      </c>
      <c r="K102" s="419">
        <f>SUMIFS('boc xe'!AB$2:AB$27,'boc xe'!$B$2:$B$27,'chia CN boc xe'!$C102)</f>
        <v>0</v>
      </c>
      <c r="L102" s="419">
        <f>SUMIFS('boc xe'!AC$2:AC$27,'boc xe'!$B$2:$B$27,'chia CN boc xe'!$C102)</f>
        <v>0</v>
      </c>
      <c r="M102" s="419">
        <f>SUMIFS('boc xe'!AD$2:AD$27,'boc xe'!$B$2:$B$27,'chia CN boc xe'!$C102)</f>
        <v>0</v>
      </c>
      <c r="N102" s="419">
        <f>SUMIFS('boc xe'!AE$2:AE$27,'boc xe'!$B$2:$B$27,'chia CN boc xe'!$C102)</f>
        <v>0</v>
      </c>
      <c r="O102" s="419">
        <f>SUMIFS('boc xe'!AF$2:AF$27,'boc xe'!$B$2:$B$27,'chia CN boc xe'!$C102)</f>
        <v>0</v>
      </c>
      <c r="P102" s="419">
        <f>SUMIFS('boc xe'!AG$2:AG$27,'boc xe'!$B$2:$B$27,'chia CN boc xe'!$C102)</f>
        <v>0</v>
      </c>
      <c r="Q102" s="419">
        <f>SUMIFS('boc xe'!AH$2:AH$27,'boc xe'!$B$2:$B$27,'chia CN boc xe'!$C102)</f>
        <v>0</v>
      </c>
      <c r="R102" s="419">
        <f>SUMIFS('boc xe'!AI$2:AI$27,'boc xe'!$B$2:$B$27,'chia CN boc xe'!$C102)</f>
        <v>0</v>
      </c>
      <c r="S102" s="419">
        <f>SUMIFS('boc xe'!AJ$2:AJ$27,'boc xe'!$B$2:$B$27,'chia CN boc xe'!$C102)</f>
        <v>0</v>
      </c>
    </row>
    <row r="103" spans="1:19" ht="15.75" customHeight="1" x14ac:dyDescent="0.25">
      <c r="A103" s="421">
        <f t="shared" si="33"/>
        <v>102</v>
      </c>
      <c r="B103" s="552"/>
      <c r="C103" s="421"/>
      <c r="D103" s="419">
        <f>SUMIFS('boc xe'!U$2:U$27,'boc xe'!$B$2:$B$27,'chia CN boc xe'!$C103)</f>
        <v>0</v>
      </c>
      <c r="E103" s="419">
        <f>SUMIFS('boc xe'!V$2:V$27,'boc xe'!$B$2:$B$27,'chia CN boc xe'!$C103)</f>
        <v>0</v>
      </c>
      <c r="F103" s="419">
        <f>SUMIFS('boc xe'!W$2:W$27,'boc xe'!$B$2:$B$27,'chia CN boc xe'!$C103)</f>
        <v>0</v>
      </c>
      <c r="G103" s="419">
        <f>SUMIFS('boc xe'!X$2:X$27,'boc xe'!$B$2:$B$27,'chia CN boc xe'!$C103)</f>
        <v>0</v>
      </c>
      <c r="H103" s="419">
        <f>SUMIFS('boc xe'!Y$2:Y$27,'boc xe'!$B$2:$B$27,'chia CN boc xe'!$C103)</f>
        <v>0</v>
      </c>
      <c r="I103" s="419">
        <f>SUMIFS('boc xe'!Z$2:Z$27,'boc xe'!$B$2:$B$27,'chia CN boc xe'!$C103)</f>
        <v>0</v>
      </c>
      <c r="J103" s="419">
        <f>SUMIFS('boc xe'!AA$2:AA$27,'boc xe'!$B$2:$B$27,'chia CN boc xe'!$C103)</f>
        <v>0</v>
      </c>
      <c r="K103" s="419">
        <f>SUMIFS('boc xe'!AB$2:AB$27,'boc xe'!$B$2:$B$27,'chia CN boc xe'!$C103)</f>
        <v>0</v>
      </c>
      <c r="L103" s="419">
        <f>SUMIFS('boc xe'!AC$2:AC$27,'boc xe'!$B$2:$B$27,'chia CN boc xe'!$C103)</f>
        <v>0</v>
      </c>
      <c r="M103" s="419">
        <f>SUMIFS('boc xe'!AD$2:AD$27,'boc xe'!$B$2:$B$27,'chia CN boc xe'!$C103)</f>
        <v>0</v>
      </c>
      <c r="N103" s="419">
        <f>SUMIFS('boc xe'!AE$2:AE$27,'boc xe'!$B$2:$B$27,'chia CN boc xe'!$C103)</f>
        <v>0</v>
      </c>
      <c r="O103" s="419">
        <f>SUMIFS('boc xe'!AF$2:AF$27,'boc xe'!$B$2:$B$27,'chia CN boc xe'!$C103)</f>
        <v>0</v>
      </c>
      <c r="P103" s="419">
        <f>SUMIFS('boc xe'!AG$2:AG$27,'boc xe'!$B$2:$B$27,'chia CN boc xe'!$C103)</f>
        <v>0</v>
      </c>
      <c r="Q103" s="419">
        <f>SUMIFS('boc xe'!AH$2:AH$27,'boc xe'!$B$2:$B$27,'chia CN boc xe'!$C103)</f>
        <v>0</v>
      </c>
      <c r="R103" s="419">
        <f>SUMIFS('boc xe'!AI$2:AI$27,'boc xe'!$B$2:$B$27,'chia CN boc xe'!$C103)</f>
        <v>0</v>
      </c>
      <c r="S103" s="419">
        <f>SUMIFS('boc xe'!AJ$2:AJ$27,'boc xe'!$B$2:$B$27,'chia CN boc xe'!$C103)</f>
        <v>0</v>
      </c>
    </row>
    <row r="104" spans="1:19" ht="15.75" customHeight="1" x14ac:dyDescent="0.25">
      <c r="A104" s="421">
        <f t="shared" si="33"/>
        <v>103</v>
      </c>
      <c r="B104" s="552"/>
      <c r="C104" s="421"/>
      <c r="D104" s="419">
        <f>SUMIFS('boc xe'!U$2:U$27,'boc xe'!$B$2:$B$27,'chia CN boc xe'!$C104)</f>
        <v>0</v>
      </c>
      <c r="E104" s="419">
        <f>SUMIFS('boc xe'!V$2:V$27,'boc xe'!$B$2:$B$27,'chia CN boc xe'!$C104)</f>
        <v>0</v>
      </c>
      <c r="F104" s="419">
        <f>SUMIFS('boc xe'!W$2:W$27,'boc xe'!$B$2:$B$27,'chia CN boc xe'!$C104)</f>
        <v>0</v>
      </c>
      <c r="G104" s="419">
        <f>SUMIFS('boc xe'!X$2:X$27,'boc xe'!$B$2:$B$27,'chia CN boc xe'!$C104)</f>
        <v>0</v>
      </c>
      <c r="H104" s="419">
        <f>SUMIFS('boc xe'!Y$2:Y$27,'boc xe'!$B$2:$B$27,'chia CN boc xe'!$C104)</f>
        <v>0</v>
      </c>
      <c r="I104" s="419">
        <f>SUMIFS('boc xe'!Z$2:Z$27,'boc xe'!$B$2:$B$27,'chia CN boc xe'!$C104)</f>
        <v>0</v>
      </c>
      <c r="J104" s="419">
        <f>SUMIFS('boc xe'!AA$2:AA$27,'boc xe'!$B$2:$B$27,'chia CN boc xe'!$C104)</f>
        <v>0</v>
      </c>
      <c r="K104" s="419">
        <f>SUMIFS('boc xe'!AB$2:AB$27,'boc xe'!$B$2:$B$27,'chia CN boc xe'!$C104)</f>
        <v>0</v>
      </c>
      <c r="L104" s="419">
        <f>SUMIFS('boc xe'!AC$2:AC$27,'boc xe'!$B$2:$B$27,'chia CN boc xe'!$C104)</f>
        <v>0</v>
      </c>
      <c r="M104" s="419">
        <f>SUMIFS('boc xe'!AD$2:AD$27,'boc xe'!$B$2:$B$27,'chia CN boc xe'!$C104)</f>
        <v>0</v>
      </c>
      <c r="N104" s="419">
        <f>SUMIFS('boc xe'!AE$2:AE$27,'boc xe'!$B$2:$B$27,'chia CN boc xe'!$C104)</f>
        <v>0</v>
      </c>
      <c r="O104" s="419">
        <f>SUMIFS('boc xe'!AF$2:AF$27,'boc xe'!$B$2:$B$27,'chia CN boc xe'!$C104)</f>
        <v>0</v>
      </c>
      <c r="P104" s="419">
        <f>SUMIFS('boc xe'!AG$2:AG$27,'boc xe'!$B$2:$B$27,'chia CN boc xe'!$C104)</f>
        <v>0</v>
      </c>
      <c r="Q104" s="419">
        <f>SUMIFS('boc xe'!AH$2:AH$27,'boc xe'!$B$2:$B$27,'chia CN boc xe'!$C104)</f>
        <v>0</v>
      </c>
      <c r="R104" s="419">
        <f>SUMIFS('boc xe'!AI$2:AI$27,'boc xe'!$B$2:$B$27,'chia CN boc xe'!$C104)</f>
        <v>0</v>
      </c>
      <c r="S104" s="419">
        <f>SUMIFS('boc xe'!AJ$2:AJ$27,'boc xe'!$B$2:$B$27,'chia CN boc xe'!$C104)</f>
        <v>0</v>
      </c>
    </row>
    <row r="105" spans="1:19" ht="15.75" customHeight="1" x14ac:dyDescent="0.25">
      <c r="A105" s="421">
        <f t="shared" si="33"/>
        <v>104</v>
      </c>
      <c r="B105" s="552"/>
      <c r="C105" s="421"/>
      <c r="D105" s="419">
        <f>SUMIFS('boc xe'!U$2:U$27,'boc xe'!$B$2:$B$27,'chia CN boc xe'!$C105)</f>
        <v>0</v>
      </c>
      <c r="E105" s="419">
        <f>SUMIFS('boc xe'!V$2:V$27,'boc xe'!$B$2:$B$27,'chia CN boc xe'!$C105)</f>
        <v>0</v>
      </c>
      <c r="F105" s="419">
        <f>SUMIFS('boc xe'!W$2:W$27,'boc xe'!$B$2:$B$27,'chia CN boc xe'!$C105)</f>
        <v>0</v>
      </c>
      <c r="G105" s="419">
        <f>SUMIFS('boc xe'!X$2:X$27,'boc xe'!$B$2:$B$27,'chia CN boc xe'!$C105)</f>
        <v>0</v>
      </c>
      <c r="H105" s="419">
        <f>SUMIFS('boc xe'!Y$2:Y$27,'boc xe'!$B$2:$B$27,'chia CN boc xe'!$C105)</f>
        <v>0</v>
      </c>
      <c r="I105" s="419">
        <f>SUMIFS('boc xe'!Z$2:Z$27,'boc xe'!$B$2:$B$27,'chia CN boc xe'!$C105)</f>
        <v>0</v>
      </c>
      <c r="J105" s="419">
        <f>SUMIFS('boc xe'!AA$2:AA$27,'boc xe'!$B$2:$B$27,'chia CN boc xe'!$C105)</f>
        <v>0</v>
      </c>
      <c r="K105" s="419">
        <f>SUMIFS('boc xe'!AB$2:AB$27,'boc xe'!$B$2:$B$27,'chia CN boc xe'!$C105)</f>
        <v>0</v>
      </c>
      <c r="L105" s="419">
        <f>SUMIFS('boc xe'!AC$2:AC$27,'boc xe'!$B$2:$B$27,'chia CN boc xe'!$C105)</f>
        <v>0</v>
      </c>
      <c r="M105" s="419">
        <f>SUMIFS('boc xe'!AD$2:AD$27,'boc xe'!$B$2:$B$27,'chia CN boc xe'!$C105)</f>
        <v>0</v>
      </c>
      <c r="N105" s="419">
        <f>SUMIFS('boc xe'!AE$2:AE$27,'boc xe'!$B$2:$B$27,'chia CN boc xe'!$C105)</f>
        <v>0</v>
      </c>
      <c r="O105" s="419">
        <f>SUMIFS('boc xe'!AF$2:AF$27,'boc xe'!$B$2:$B$27,'chia CN boc xe'!$C105)</f>
        <v>0</v>
      </c>
      <c r="P105" s="419">
        <f>SUMIFS('boc xe'!AG$2:AG$27,'boc xe'!$B$2:$B$27,'chia CN boc xe'!$C105)</f>
        <v>0</v>
      </c>
      <c r="Q105" s="419">
        <f>SUMIFS('boc xe'!AH$2:AH$27,'boc xe'!$B$2:$B$27,'chia CN boc xe'!$C105)</f>
        <v>0</v>
      </c>
      <c r="R105" s="419">
        <f>SUMIFS('boc xe'!AI$2:AI$27,'boc xe'!$B$2:$B$27,'chia CN boc xe'!$C105)</f>
        <v>0</v>
      </c>
      <c r="S105" s="419">
        <f>SUMIFS('boc xe'!AJ$2:AJ$27,'boc xe'!$B$2:$B$27,'chia CN boc xe'!$C105)</f>
        <v>0</v>
      </c>
    </row>
    <row r="106" spans="1:19" ht="15.75" customHeight="1" x14ac:dyDescent="0.25">
      <c r="A106" s="421">
        <f t="shared" si="33"/>
        <v>105</v>
      </c>
      <c r="B106" s="552"/>
      <c r="C106" s="421"/>
      <c r="D106" s="419">
        <f>SUMIFS('boc xe'!U$2:U$27,'boc xe'!$B$2:$B$27,'chia CN boc xe'!$C106)</f>
        <v>0</v>
      </c>
      <c r="E106" s="419">
        <f>SUMIFS('boc xe'!V$2:V$27,'boc xe'!$B$2:$B$27,'chia CN boc xe'!$C106)</f>
        <v>0</v>
      </c>
      <c r="F106" s="419">
        <f>SUMIFS('boc xe'!W$2:W$27,'boc xe'!$B$2:$B$27,'chia CN boc xe'!$C106)</f>
        <v>0</v>
      </c>
      <c r="G106" s="419">
        <f>SUMIFS('boc xe'!X$2:X$27,'boc xe'!$B$2:$B$27,'chia CN boc xe'!$C106)</f>
        <v>0</v>
      </c>
      <c r="H106" s="419">
        <f>SUMIFS('boc xe'!Y$2:Y$27,'boc xe'!$B$2:$B$27,'chia CN boc xe'!$C106)</f>
        <v>0</v>
      </c>
      <c r="I106" s="419">
        <f>SUMIFS('boc xe'!Z$2:Z$27,'boc xe'!$B$2:$B$27,'chia CN boc xe'!$C106)</f>
        <v>0</v>
      </c>
      <c r="J106" s="419">
        <f>SUMIFS('boc xe'!AA$2:AA$27,'boc xe'!$B$2:$B$27,'chia CN boc xe'!$C106)</f>
        <v>0</v>
      </c>
      <c r="K106" s="419">
        <f>SUMIFS('boc xe'!AB$2:AB$27,'boc xe'!$B$2:$B$27,'chia CN boc xe'!$C106)</f>
        <v>0</v>
      </c>
      <c r="L106" s="419">
        <f>SUMIFS('boc xe'!AC$2:AC$27,'boc xe'!$B$2:$B$27,'chia CN boc xe'!$C106)</f>
        <v>0</v>
      </c>
      <c r="M106" s="419">
        <f>SUMIFS('boc xe'!AD$2:AD$27,'boc xe'!$B$2:$B$27,'chia CN boc xe'!$C106)</f>
        <v>0</v>
      </c>
      <c r="N106" s="419">
        <f>SUMIFS('boc xe'!AE$2:AE$27,'boc xe'!$B$2:$B$27,'chia CN boc xe'!$C106)</f>
        <v>0</v>
      </c>
      <c r="O106" s="419">
        <f>SUMIFS('boc xe'!AF$2:AF$27,'boc xe'!$B$2:$B$27,'chia CN boc xe'!$C106)</f>
        <v>0</v>
      </c>
      <c r="P106" s="419">
        <f>SUMIFS('boc xe'!AG$2:AG$27,'boc xe'!$B$2:$B$27,'chia CN boc xe'!$C106)</f>
        <v>0</v>
      </c>
      <c r="Q106" s="419">
        <f>SUMIFS('boc xe'!AH$2:AH$27,'boc xe'!$B$2:$B$27,'chia CN boc xe'!$C106)</f>
        <v>0</v>
      </c>
      <c r="R106" s="419">
        <f>SUMIFS('boc xe'!AI$2:AI$27,'boc xe'!$B$2:$B$27,'chia CN boc xe'!$C106)</f>
        <v>0</v>
      </c>
      <c r="S106" s="419">
        <f>SUMIFS('boc xe'!AJ$2:AJ$27,'boc xe'!$B$2:$B$27,'chia CN boc xe'!$C106)</f>
        <v>0</v>
      </c>
    </row>
    <row r="107" spans="1:19" ht="15.75" customHeight="1" x14ac:dyDescent="0.25">
      <c r="A107" s="421">
        <f t="shared" si="33"/>
        <v>106</v>
      </c>
      <c r="B107" s="552"/>
      <c r="C107" s="421"/>
      <c r="D107" s="419">
        <f>SUMIFS('boc xe'!U$2:U$27,'boc xe'!$B$2:$B$27,'chia CN boc xe'!$C107)</f>
        <v>0</v>
      </c>
      <c r="E107" s="419">
        <f>SUMIFS('boc xe'!V$2:V$27,'boc xe'!$B$2:$B$27,'chia CN boc xe'!$C107)</f>
        <v>0</v>
      </c>
      <c r="F107" s="419">
        <f>SUMIFS('boc xe'!W$2:W$27,'boc xe'!$B$2:$B$27,'chia CN boc xe'!$C107)</f>
        <v>0</v>
      </c>
      <c r="G107" s="419">
        <f>SUMIFS('boc xe'!X$2:X$27,'boc xe'!$B$2:$B$27,'chia CN boc xe'!$C107)</f>
        <v>0</v>
      </c>
      <c r="H107" s="419">
        <f>SUMIFS('boc xe'!Y$2:Y$27,'boc xe'!$B$2:$B$27,'chia CN boc xe'!$C107)</f>
        <v>0</v>
      </c>
      <c r="I107" s="419">
        <f>SUMIFS('boc xe'!Z$2:Z$27,'boc xe'!$B$2:$B$27,'chia CN boc xe'!$C107)</f>
        <v>0</v>
      </c>
      <c r="J107" s="419">
        <f>SUMIFS('boc xe'!AA$2:AA$27,'boc xe'!$B$2:$B$27,'chia CN boc xe'!$C107)</f>
        <v>0</v>
      </c>
      <c r="K107" s="419">
        <f>SUMIFS('boc xe'!AB$2:AB$27,'boc xe'!$B$2:$B$27,'chia CN boc xe'!$C107)</f>
        <v>0</v>
      </c>
      <c r="L107" s="419">
        <f>SUMIFS('boc xe'!AC$2:AC$27,'boc xe'!$B$2:$B$27,'chia CN boc xe'!$C107)</f>
        <v>0</v>
      </c>
      <c r="M107" s="419">
        <f>SUMIFS('boc xe'!AD$2:AD$27,'boc xe'!$B$2:$B$27,'chia CN boc xe'!$C107)</f>
        <v>0</v>
      </c>
      <c r="N107" s="419">
        <f>SUMIFS('boc xe'!AE$2:AE$27,'boc xe'!$B$2:$B$27,'chia CN boc xe'!$C107)</f>
        <v>0</v>
      </c>
      <c r="O107" s="419">
        <f>SUMIFS('boc xe'!AF$2:AF$27,'boc xe'!$B$2:$B$27,'chia CN boc xe'!$C107)</f>
        <v>0</v>
      </c>
      <c r="P107" s="419">
        <f>SUMIFS('boc xe'!AG$2:AG$27,'boc xe'!$B$2:$B$27,'chia CN boc xe'!$C107)</f>
        <v>0</v>
      </c>
      <c r="Q107" s="419">
        <f>SUMIFS('boc xe'!AH$2:AH$27,'boc xe'!$B$2:$B$27,'chia CN boc xe'!$C107)</f>
        <v>0</v>
      </c>
      <c r="R107" s="419">
        <f>SUMIFS('boc xe'!AI$2:AI$27,'boc xe'!$B$2:$B$27,'chia CN boc xe'!$C107)</f>
        <v>0</v>
      </c>
      <c r="S107" s="419">
        <f>SUMIFS('boc xe'!AJ$2:AJ$27,'boc xe'!$B$2:$B$27,'chia CN boc xe'!$C107)</f>
        <v>0</v>
      </c>
    </row>
    <row r="108" spans="1:19" ht="15.75" customHeight="1" x14ac:dyDescent="0.25">
      <c r="A108" s="421">
        <f t="shared" si="33"/>
        <v>107</v>
      </c>
      <c r="B108" s="552"/>
      <c r="C108" s="421"/>
      <c r="D108" s="419">
        <f>SUMIFS('boc xe'!U$2:U$27,'boc xe'!$B$2:$B$27,'chia CN boc xe'!$C108)</f>
        <v>0</v>
      </c>
      <c r="E108" s="419">
        <f>SUMIFS('boc xe'!V$2:V$27,'boc xe'!$B$2:$B$27,'chia CN boc xe'!$C108)</f>
        <v>0</v>
      </c>
      <c r="F108" s="419">
        <f>SUMIFS('boc xe'!W$2:W$27,'boc xe'!$B$2:$B$27,'chia CN boc xe'!$C108)</f>
        <v>0</v>
      </c>
      <c r="G108" s="419">
        <f>SUMIFS('boc xe'!X$2:X$27,'boc xe'!$B$2:$B$27,'chia CN boc xe'!$C108)</f>
        <v>0</v>
      </c>
      <c r="H108" s="419">
        <f>SUMIFS('boc xe'!Y$2:Y$27,'boc xe'!$B$2:$B$27,'chia CN boc xe'!$C108)</f>
        <v>0</v>
      </c>
      <c r="I108" s="419">
        <f>SUMIFS('boc xe'!Z$2:Z$27,'boc xe'!$B$2:$B$27,'chia CN boc xe'!$C108)</f>
        <v>0</v>
      </c>
      <c r="J108" s="419">
        <f>SUMIFS('boc xe'!AA$2:AA$27,'boc xe'!$B$2:$B$27,'chia CN boc xe'!$C108)</f>
        <v>0</v>
      </c>
      <c r="K108" s="419">
        <f>SUMIFS('boc xe'!AB$2:AB$27,'boc xe'!$B$2:$B$27,'chia CN boc xe'!$C108)</f>
        <v>0</v>
      </c>
      <c r="L108" s="419">
        <f>SUMIFS('boc xe'!AC$2:AC$27,'boc xe'!$B$2:$B$27,'chia CN boc xe'!$C108)</f>
        <v>0</v>
      </c>
      <c r="M108" s="419">
        <f>SUMIFS('boc xe'!AD$2:AD$27,'boc xe'!$B$2:$B$27,'chia CN boc xe'!$C108)</f>
        <v>0</v>
      </c>
      <c r="N108" s="419">
        <f>SUMIFS('boc xe'!AE$2:AE$27,'boc xe'!$B$2:$B$27,'chia CN boc xe'!$C108)</f>
        <v>0</v>
      </c>
      <c r="O108" s="419">
        <f>SUMIFS('boc xe'!AF$2:AF$27,'boc xe'!$B$2:$B$27,'chia CN boc xe'!$C108)</f>
        <v>0</v>
      </c>
      <c r="P108" s="419">
        <f>SUMIFS('boc xe'!AG$2:AG$27,'boc xe'!$B$2:$B$27,'chia CN boc xe'!$C108)</f>
        <v>0</v>
      </c>
      <c r="Q108" s="419">
        <f>SUMIFS('boc xe'!AH$2:AH$27,'boc xe'!$B$2:$B$27,'chia CN boc xe'!$C108)</f>
        <v>0</v>
      </c>
      <c r="R108" s="419">
        <f>SUMIFS('boc xe'!AI$2:AI$27,'boc xe'!$B$2:$B$27,'chia CN boc xe'!$C108)</f>
        <v>0</v>
      </c>
      <c r="S108" s="419">
        <f>SUMIFS('boc xe'!AJ$2:AJ$27,'boc xe'!$B$2:$B$27,'chia CN boc xe'!$C108)</f>
        <v>0</v>
      </c>
    </row>
    <row r="109" spans="1:19" ht="15.75" customHeight="1" x14ac:dyDescent="0.25">
      <c r="A109" s="421">
        <f t="shared" si="33"/>
        <v>108</v>
      </c>
      <c r="B109" s="253"/>
      <c r="C109" s="421"/>
      <c r="D109" s="419">
        <f>SUMIFS('boc xe'!U$2:U$27,'boc xe'!$B$2:$B$27,'chia CN boc xe'!$C109)</f>
        <v>0</v>
      </c>
      <c r="E109" s="419">
        <f>SUMIFS('boc xe'!V$2:V$27,'boc xe'!$B$2:$B$27,'chia CN boc xe'!$C109)</f>
        <v>0</v>
      </c>
      <c r="F109" s="419">
        <f>SUMIFS('boc xe'!W$2:W$27,'boc xe'!$B$2:$B$27,'chia CN boc xe'!$C109)</f>
        <v>0</v>
      </c>
      <c r="G109" s="419">
        <f>SUMIFS('boc xe'!X$2:X$27,'boc xe'!$B$2:$B$27,'chia CN boc xe'!$C109)</f>
        <v>0</v>
      </c>
      <c r="H109" s="419">
        <f>SUMIFS('boc xe'!Y$2:Y$27,'boc xe'!$B$2:$B$27,'chia CN boc xe'!$C109)</f>
        <v>0</v>
      </c>
      <c r="I109" s="419">
        <f>SUMIFS('boc xe'!Z$2:Z$27,'boc xe'!$B$2:$B$27,'chia CN boc xe'!$C109)</f>
        <v>0</v>
      </c>
      <c r="J109" s="419">
        <f>SUMIFS('boc xe'!AA$2:AA$27,'boc xe'!$B$2:$B$27,'chia CN boc xe'!$C109)</f>
        <v>0</v>
      </c>
      <c r="K109" s="419">
        <f>SUMIFS('boc xe'!AB$2:AB$27,'boc xe'!$B$2:$B$27,'chia CN boc xe'!$C109)</f>
        <v>0</v>
      </c>
      <c r="L109" s="419">
        <f>SUMIFS('boc xe'!AC$2:AC$27,'boc xe'!$B$2:$B$27,'chia CN boc xe'!$C109)</f>
        <v>0</v>
      </c>
      <c r="M109" s="419">
        <f>SUMIFS('boc xe'!AD$2:AD$27,'boc xe'!$B$2:$B$27,'chia CN boc xe'!$C109)</f>
        <v>0</v>
      </c>
      <c r="N109" s="419">
        <f>SUMIFS('boc xe'!AE$2:AE$27,'boc xe'!$B$2:$B$27,'chia CN boc xe'!$C109)</f>
        <v>0</v>
      </c>
      <c r="O109" s="419">
        <f>SUMIFS('boc xe'!AF$2:AF$27,'boc xe'!$B$2:$B$27,'chia CN boc xe'!$C109)</f>
        <v>0</v>
      </c>
      <c r="P109" s="419">
        <f>SUMIFS('boc xe'!AG$2:AG$27,'boc xe'!$B$2:$B$27,'chia CN boc xe'!$C109)</f>
        <v>0</v>
      </c>
      <c r="Q109" s="419">
        <f>SUMIFS('boc xe'!AH$2:AH$27,'boc xe'!$B$2:$B$27,'chia CN boc xe'!$C109)</f>
        <v>0</v>
      </c>
      <c r="R109" s="419">
        <f>SUMIFS('boc xe'!AI$2:AI$27,'boc xe'!$B$2:$B$27,'chia CN boc xe'!$C109)</f>
        <v>0</v>
      </c>
      <c r="S109" s="419">
        <f>SUMIFS('boc xe'!AJ$2:AJ$27,'boc xe'!$B$2:$B$27,'chia CN boc xe'!$C109)</f>
        <v>0</v>
      </c>
    </row>
    <row r="110" spans="1:19" ht="15.75" customHeight="1" x14ac:dyDescent="0.25">
      <c r="A110" s="421">
        <f t="shared" si="33"/>
        <v>109</v>
      </c>
      <c r="B110" s="552"/>
      <c r="C110" s="421"/>
      <c r="D110" s="419">
        <f>SUMIFS('boc xe'!U$2:U$27,'boc xe'!$B$2:$B$27,'chia CN boc xe'!$C110)</f>
        <v>0</v>
      </c>
      <c r="E110" s="419">
        <f>SUMIFS('boc xe'!V$2:V$27,'boc xe'!$B$2:$B$27,'chia CN boc xe'!$C110)</f>
        <v>0</v>
      </c>
      <c r="F110" s="419">
        <f>SUMIFS('boc xe'!W$2:W$27,'boc xe'!$B$2:$B$27,'chia CN boc xe'!$C110)</f>
        <v>0</v>
      </c>
      <c r="G110" s="419">
        <f>SUMIFS('boc xe'!X$2:X$27,'boc xe'!$B$2:$B$27,'chia CN boc xe'!$C110)</f>
        <v>0</v>
      </c>
      <c r="H110" s="419">
        <f>SUMIFS('boc xe'!Y$2:Y$27,'boc xe'!$B$2:$B$27,'chia CN boc xe'!$C110)</f>
        <v>0</v>
      </c>
      <c r="I110" s="419">
        <f>SUMIFS('boc xe'!Z$2:Z$27,'boc xe'!$B$2:$B$27,'chia CN boc xe'!$C110)</f>
        <v>0</v>
      </c>
      <c r="J110" s="419">
        <f>SUMIFS('boc xe'!AA$2:AA$27,'boc xe'!$B$2:$B$27,'chia CN boc xe'!$C110)</f>
        <v>0</v>
      </c>
      <c r="K110" s="419">
        <f>SUMIFS('boc xe'!AB$2:AB$27,'boc xe'!$B$2:$B$27,'chia CN boc xe'!$C110)</f>
        <v>0</v>
      </c>
      <c r="L110" s="419">
        <f>SUMIFS('boc xe'!AC$2:AC$27,'boc xe'!$B$2:$B$27,'chia CN boc xe'!$C110)</f>
        <v>0</v>
      </c>
      <c r="M110" s="419">
        <f>SUMIFS('boc xe'!AD$2:AD$27,'boc xe'!$B$2:$B$27,'chia CN boc xe'!$C110)</f>
        <v>0</v>
      </c>
      <c r="N110" s="419">
        <f>SUMIFS('boc xe'!AE$2:AE$27,'boc xe'!$B$2:$B$27,'chia CN boc xe'!$C110)</f>
        <v>0</v>
      </c>
      <c r="O110" s="419">
        <f>SUMIFS('boc xe'!AF$2:AF$27,'boc xe'!$B$2:$B$27,'chia CN boc xe'!$C110)</f>
        <v>0</v>
      </c>
      <c r="P110" s="419">
        <f>SUMIFS('boc xe'!AG$2:AG$27,'boc xe'!$B$2:$B$27,'chia CN boc xe'!$C110)</f>
        <v>0</v>
      </c>
      <c r="Q110" s="419">
        <f>SUMIFS('boc xe'!AH$2:AH$27,'boc xe'!$B$2:$B$27,'chia CN boc xe'!$C110)</f>
        <v>0</v>
      </c>
      <c r="R110" s="419">
        <f>SUMIFS('boc xe'!AI$2:AI$27,'boc xe'!$B$2:$B$27,'chia CN boc xe'!$C110)</f>
        <v>0</v>
      </c>
      <c r="S110" s="419">
        <f>SUMIFS('boc xe'!AJ$2:AJ$27,'boc xe'!$B$2:$B$27,'chia CN boc xe'!$C110)</f>
        <v>0</v>
      </c>
    </row>
    <row r="111" spans="1:19" ht="15.75" customHeight="1" x14ac:dyDescent="0.25">
      <c r="A111" s="421">
        <f t="shared" si="33"/>
        <v>110</v>
      </c>
      <c r="B111" s="552"/>
      <c r="C111" s="421"/>
      <c r="D111" s="419">
        <f>SUMIFS('boc xe'!U$2:U$27,'boc xe'!$B$2:$B$27,'chia CN boc xe'!$C111)</f>
        <v>0</v>
      </c>
      <c r="E111" s="419">
        <f>SUMIFS('boc xe'!V$2:V$27,'boc xe'!$B$2:$B$27,'chia CN boc xe'!$C111)</f>
        <v>0</v>
      </c>
      <c r="F111" s="419">
        <f>SUMIFS('boc xe'!W$2:W$27,'boc xe'!$B$2:$B$27,'chia CN boc xe'!$C111)</f>
        <v>0</v>
      </c>
      <c r="G111" s="419">
        <f>SUMIFS('boc xe'!X$2:X$27,'boc xe'!$B$2:$B$27,'chia CN boc xe'!$C111)</f>
        <v>0</v>
      </c>
      <c r="H111" s="419">
        <f>SUMIFS('boc xe'!Y$2:Y$27,'boc xe'!$B$2:$B$27,'chia CN boc xe'!$C111)</f>
        <v>0</v>
      </c>
      <c r="I111" s="419">
        <f>SUMIFS('boc xe'!Z$2:Z$27,'boc xe'!$B$2:$B$27,'chia CN boc xe'!$C111)</f>
        <v>0</v>
      </c>
      <c r="J111" s="419">
        <f>SUMIFS('boc xe'!AA$2:AA$27,'boc xe'!$B$2:$B$27,'chia CN boc xe'!$C111)</f>
        <v>0</v>
      </c>
      <c r="K111" s="419">
        <f>SUMIFS('boc xe'!AB$2:AB$27,'boc xe'!$B$2:$B$27,'chia CN boc xe'!$C111)</f>
        <v>0</v>
      </c>
      <c r="L111" s="419">
        <f>SUMIFS('boc xe'!AC$2:AC$27,'boc xe'!$B$2:$B$27,'chia CN boc xe'!$C111)</f>
        <v>0</v>
      </c>
      <c r="M111" s="419">
        <f>SUMIFS('boc xe'!AD$2:AD$27,'boc xe'!$B$2:$B$27,'chia CN boc xe'!$C111)</f>
        <v>0</v>
      </c>
      <c r="N111" s="419">
        <f>SUMIFS('boc xe'!AE$2:AE$27,'boc xe'!$B$2:$B$27,'chia CN boc xe'!$C111)</f>
        <v>0</v>
      </c>
      <c r="O111" s="419">
        <f>SUMIFS('boc xe'!AF$2:AF$27,'boc xe'!$B$2:$B$27,'chia CN boc xe'!$C111)</f>
        <v>0</v>
      </c>
      <c r="P111" s="419">
        <f>SUMIFS('boc xe'!AG$2:AG$27,'boc xe'!$B$2:$B$27,'chia CN boc xe'!$C111)</f>
        <v>0</v>
      </c>
      <c r="Q111" s="419">
        <f>SUMIFS('boc xe'!AH$2:AH$27,'boc xe'!$B$2:$B$27,'chia CN boc xe'!$C111)</f>
        <v>0</v>
      </c>
      <c r="R111" s="419">
        <f>SUMIFS('boc xe'!AI$2:AI$27,'boc xe'!$B$2:$B$27,'chia CN boc xe'!$C111)</f>
        <v>0</v>
      </c>
      <c r="S111" s="419">
        <f>SUMIFS('boc xe'!AJ$2:AJ$27,'boc xe'!$B$2:$B$27,'chia CN boc xe'!$C111)</f>
        <v>0</v>
      </c>
    </row>
    <row r="112" spans="1:19" ht="15.75" customHeight="1" x14ac:dyDescent="0.25">
      <c r="A112" s="421">
        <f t="shared" si="33"/>
        <v>111</v>
      </c>
      <c r="B112" s="552"/>
      <c r="C112" s="421"/>
      <c r="D112" s="419">
        <f>SUMIFS('boc xe'!U$2:U$27,'boc xe'!$B$2:$B$27,'chia CN boc xe'!$C112)</f>
        <v>0</v>
      </c>
      <c r="E112" s="419">
        <f>SUMIFS('boc xe'!V$2:V$27,'boc xe'!$B$2:$B$27,'chia CN boc xe'!$C112)</f>
        <v>0</v>
      </c>
      <c r="F112" s="419">
        <f>SUMIFS('boc xe'!W$2:W$27,'boc xe'!$B$2:$B$27,'chia CN boc xe'!$C112)</f>
        <v>0</v>
      </c>
      <c r="G112" s="419">
        <f>SUMIFS('boc xe'!X$2:X$27,'boc xe'!$B$2:$B$27,'chia CN boc xe'!$C112)</f>
        <v>0</v>
      </c>
      <c r="H112" s="419">
        <f>SUMIFS('boc xe'!Y$2:Y$27,'boc xe'!$B$2:$B$27,'chia CN boc xe'!$C112)</f>
        <v>0</v>
      </c>
      <c r="I112" s="419">
        <f>SUMIFS('boc xe'!Z$2:Z$27,'boc xe'!$B$2:$B$27,'chia CN boc xe'!$C112)</f>
        <v>0</v>
      </c>
      <c r="J112" s="419">
        <f>SUMIFS('boc xe'!AA$2:AA$27,'boc xe'!$B$2:$B$27,'chia CN boc xe'!$C112)</f>
        <v>0</v>
      </c>
      <c r="K112" s="419">
        <f>SUMIFS('boc xe'!AB$2:AB$27,'boc xe'!$B$2:$B$27,'chia CN boc xe'!$C112)</f>
        <v>0</v>
      </c>
      <c r="L112" s="419">
        <f>SUMIFS('boc xe'!AC$2:AC$27,'boc xe'!$B$2:$B$27,'chia CN boc xe'!$C112)</f>
        <v>0</v>
      </c>
      <c r="M112" s="419">
        <f>SUMIFS('boc xe'!AD$2:AD$27,'boc xe'!$B$2:$B$27,'chia CN boc xe'!$C112)</f>
        <v>0</v>
      </c>
      <c r="N112" s="419">
        <f>SUMIFS('boc xe'!AE$2:AE$27,'boc xe'!$B$2:$B$27,'chia CN boc xe'!$C112)</f>
        <v>0</v>
      </c>
      <c r="O112" s="419">
        <f>SUMIFS('boc xe'!AF$2:AF$27,'boc xe'!$B$2:$B$27,'chia CN boc xe'!$C112)</f>
        <v>0</v>
      </c>
      <c r="P112" s="419">
        <f>SUMIFS('boc xe'!AG$2:AG$27,'boc xe'!$B$2:$B$27,'chia CN boc xe'!$C112)</f>
        <v>0</v>
      </c>
      <c r="Q112" s="419">
        <f>SUMIFS('boc xe'!AH$2:AH$27,'boc xe'!$B$2:$B$27,'chia CN boc xe'!$C112)</f>
        <v>0</v>
      </c>
      <c r="R112" s="419">
        <f>SUMIFS('boc xe'!AI$2:AI$27,'boc xe'!$B$2:$B$27,'chia CN boc xe'!$C112)</f>
        <v>0</v>
      </c>
      <c r="S112" s="419">
        <f>SUMIFS('boc xe'!AJ$2:AJ$27,'boc xe'!$B$2:$B$27,'chia CN boc xe'!$C112)</f>
        <v>0</v>
      </c>
    </row>
    <row r="113" spans="1:19" ht="15.75" customHeight="1" x14ac:dyDescent="0.25">
      <c r="A113" s="421">
        <f t="shared" si="33"/>
        <v>112</v>
      </c>
      <c r="B113" s="552"/>
      <c r="C113" s="421"/>
      <c r="D113" s="419">
        <f>SUMIFS('boc xe'!U$2:U$27,'boc xe'!$B$2:$B$27,'chia CN boc xe'!$C113)</f>
        <v>0</v>
      </c>
      <c r="E113" s="419">
        <f>SUMIFS('boc xe'!V$2:V$27,'boc xe'!$B$2:$B$27,'chia CN boc xe'!$C113)</f>
        <v>0</v>
      </c>
      <c r="F113" s="419">
        <f>SUMIFS('boc xe'!W$2:W$27,'boc xe'!$B$2:$B$27,'chia CN boc xe'!$C113)</f>
        <v>0</v>
      </c>
      <c r="G113" s="419">
        <f>SUMIFS('boc xe'!X$2:X$27,'boc xe'!$B$2:$B$27,'chia CN boc xe'!$C113)</f>
        <v>0</v>
      </c>
      <c r="H113" s="419">
        <f>SUMIFS('boc xe'!Y$2:Y$27,'boc xe'!$B$2:$B$27,'chia CN boc xe'!$C113)</f>
        <v>0</v>
      </c>
      <c r="I113" s="419">
        <f>SUMIFS('boc xe'!Z$2:Z$27,'boc xe'!$B$2:$B$27,'chia CN boc xe'!$C113)</f>
        <v>0</v>
      </c>
      <c r="J113" s="419">
        <f>SUMIFS('boc xe'!AA$2:AA$27,'boc xe'!$B$2:$B$27,'chia CN boc xe'!$C113)</f>
        <v>0</v>
      </c>
      <c r="K113" s="419">
        <f>SUMIFS('boc xe'!AB$2:AB$27,'boc xe'!$B$2:$B$27,'chia CN boc xe'!$C113)</f>
        <v>0</v>
      </c>
      <c r="L113" s="419">
        <f>SUMIFS('boc xe'!AC$2:AC$27,'boc xe'!$B$2:$B$27,'chia CN boc xe'!$C113)</f>
        <v>0</v>
      </c>
      <c r="M113" s="419">
        <f>SUMIFS('boc xe'!AD$2:AD$27,'boc xe'!$B$2:$B$27,'chia CN boc xe'!$C113)</f>
        <v>0</v>
      </c>
      <c r="N113" s="419">
        <f>SUMIFS('boc xe'!AE$2:AE$27,'boc xe'!$B$2:$B$27,'chia CN boc xe'!$C113)</f>
        <v>0</v>
      </c>
      <c r="O113" s="419">
        <f>SUMIFS('boc xe'!AF$2:AF$27,'boc xe'!$B$2:$B$27,'chia CN boc xe'!$C113)</f>
        <v>0</v>
      </c>
      <c r="P113" s="419">
        <f>SUMIFS('boc xe'!AG$2:AG$27,'boc xe'!$B$2:$B$27,'chia CN boc xe'!$C113)</f>
        <v>0</v>
      </c>
      <c r="Q113" s="419">
        <f>SUMIFS('boc xe'!AH$2:AH$27,'boc xe'!$B$2:$B$27,'chia CN boc xe'!$C113)</f>
        <v>0</v>
      </c>
      <c r="R113" s="419">
        <f>SUMIFS('boc xe'!AI$2:AI$27,'boc xe'!$B$2:$B$27,'chia CN boc xe'!$C113)</f>
        <v>0</v>
      </c>
      <c r="S113" s="419">
        <f>SUMIFS('boc xe'!AJ$2:AJ$27,'boc xe'!$B$2:$B$27,'chia CN boc xe'!$C113)</f>
        <v>0</v>
      </c>
    </row>
    <row r="114" spans="1:19" x14ac:dyDescent="0.25">
      <c r="A114" s="421">
        <f t="shared" si="33"/>
        <v>113</v>
      </c>
      <c r="B114" s="552"/>
      <c r="C114" s="421"/>
      <c r="D114" s="419">
        <f>SUMIFS('boc xe'!U$2:U$27,'boc xe'!$B$2:$B$27,'chia CN boc xe'!$C114)</f>
        <v>0</v>
      </c>
      <c r="E114" s="419">
        <f>SUMIFS('boc xe'!V$2:V$27,'boc xe'!$B$2:$B$27,'chia CN boc xe'!$C114)</f>
        <v>0</v>
      </c>
      <c r="F114" s="419">
        <f>SUMIFS('boc xe'!W$2:W$27,'boc xe'!$B$2:$B$27,'chia CN boc xe'!$C114)</f>
        <v>0</v>
      </c>
      <c r="G114" s="419">
        <f>SUMIFS('boc xe'!X$2:X$27,'boc xe'!$B$2:$B$27,'chia CN boc xe'!$C114)</f>
        <v>0</v>
      </c>
      <c r="H114" s="419">
        <f>SUMIFS('boc xe'!Y$2:Y$27,'boc xe'!$B$2:$B$27,'chia CN boc xe'!$C114)</f>
        <v>0</v>
      </c>
      <c r="I114" s="419">
        <f>SUMIFS('boc xe'!Z$2:Z$27,'boc xe'!$B$2:$B$27,'chia CN boc xe'!$C114)</f>
        <v>0</v>
      </c>
      <c r="J114" s="419">
        <f>SUMIFS('boc xe'!AA$2:AA$27,'boc xe'!$B$2:$B$27,'chia CN boc xe'!$C114)</f>
        <v>0</v>
      </c>
      <c r="K114" s="419">
        <f>SUMIFS('boc xe'!AB$2:AB$27,'boc xe'!$B$2:$B$27,'chia CN boc xe'!$C114)</f>
        <v>0</v>
      </c>
      <c r="L114" s="419">
        <f>SUMIFS('boc xe'!AC$2:AC$27,'boc xe'!$B$2:$B$27,'chia CN boc xe'!$C114)</f>
        <v>0</v>
      </c>
      <c r="M114" s="419">
        <f>SUMIFS('boc xe'!AD$2:AD$27,'boc xe'!$B$2:$B$27,'chia CN boc xe'!$C114)</f>
        <v>0</v>
      </c>
      <c r="N114" s="419">
        <f>SUMIFS('boc xe'!AE$2:AE$27,'boc xe'!$B$2:$B$27,'chia CN boc xe'!$C114)</f>
        <v>0</v>
      </c>
      <c r="O114" s="419">
        <f>SUMIFS('boc xe'!AF$2:AF$27,'boc xe'!$B$2:$B$27,'chia CN boc xe'!$C114)</f>
        <v>0</v>
      </c>
      <c r="P114" s="419">
        <f>SUMIFS('boc xe'!AG$2:AG$27,'boc xe'!$B$2:$B$27,'chia CN boc xe'!$C114)</f>
        <v>0</v>
      </c>
      <c r="Q114" s="419">
        <f>SUMIFS('boc xe'!AH$2:AH$27,'boc xe'!$B$2:$B$27,'chia CN boc xe'!$C114)</f>
        <v>0</v>
      </c>
      <c r="R114" s="419">
        <f>SUMIFS('boc xe'!AI$2:AI$27,'boc xe'!$B$2:$B$27,'chia CN boc xe'!$C114)</f>
        <v>0</v>
      </c>
      <c r="S114" s="419">
        <f>SUMIFS('boc xe'!AJ$2:AJ$27,'boc xe'!$B$2:$B$27,'chia CN boc xe'!$C114)</f>
        <v>0</v>
      </c>
    </row>
    <row r="115" spans="1:19" x14ac:dyDescent="0.25">
      <c r="A115" s="421">
        <f t="shared" si="33"/>
        <v>114</v>
      </c>
      <c r="B115" s="552"/>
      <c r="C115" s="421"/>
      <c r="D115" s="419">
        <f>SUMIFS('boc xe'!U$2:U$27,'boc xe'!$B$2:$B$27,'chia CN boc xe'!$C115)</f>
        <v>0</v>
      </c>
      <c r="E115" s="419">
        <f>SUMIFS('boc xe'!V$2:V$27,'boc xe'!$B$2:$B$27,'chia CN boc xe'!$C115)</f>
        <v>0</v>
      </c>
      <c r="F115" s="419">
        <f>SUMIFS('boc xe'!W$2:W$27,'boc xe'!$B$2:$B$27,'chia CN boc xe'!$C115)</f>
        <v>0</v>
      </c>
      <c r="G115" s="419">
        <f>SUMIFS('boc xe'!X$2:X$27,'boc xe'!$B$2:$B$27,'chia CN boc xe'!$C115)</f>
        <v>0</v>
      </c>
      <c r="H115" s="419">
        <f>SUMIFS('boc xe'!Y$2:Y$27,'boc xe'!$B$2:$B$27,'chia CN boc xe'!$C115)</f>
        <v>0</v>
      </c>
      <c r="I115" s="419">
        <f>SUMIFS('boc xe'!Z$2:Z$27,'boc xe'!$B$2:$B$27,'chia CN boc xe'!$C115)</f>
        <v>0</v>
      </c>
      <c r="J115" s="419">
        <f>SUMIFS('boc xe'!AA$2:AA$27,'boc xe'!$B$2:$B$27,'chia CN boc xe'!$C115)</f>
        <v>0</v>
      </c>
      <c r="K115" s="419">
        <f>SUMIFS('boc xe'!AB$2:AB$27,'boc xe'!$B$2:$B$27,'chia CN boc xe'!$C115)</f>
        <v>0</v>
      </c>
      <c r="L115" s="419">
        <f>SUMIFS('boc xe'!AC$2:AC$27,'boc xe'!$B$2:$B$27,'chia CN boc xe'!$C115)</f>
        <v>0</v>
      </c>
      <c r="M115" s="419">
        <f>SUMIFS('boc xe'!AD$2:AD$27,'boc xe'!$B$2:$B$27,'chia CN boc xe'!$C115)</f>
        <v>0</v>
      </c>
      <c r="N115" s="419">
        <f>SUMIFS('boc xe'!AE$2:AE$27,'boc xe'!$B$2:$B$27,'chia CN boc xe'!$C115)</f>
        <v>0</v>
      </c>
      <c r="O115" s="419">
        <f>SUMIFS('boc xe'!AF$2:AF$27,'boc xe'!$B$2:$B$27,'chia CN boc xe'!$C115)</f>
        <v>0</v>
      </c>
      <c r="P115" s="419">
        <f>SUMIFS('boc xe'!AG$2:AG$27,'boc xe'!$B$2:$B$27,'chia CN boc xe'!$C115)</f>
        <v>0</v>
      </c>
      <c r="Q115" s="419">
        <f>SUMIFS('boc xe'!AH$2:AH$27,'boc xe'!$B$2:$B$27,'chia CN boc xe'!$C115)</f>
        <v>0</v>
      </c>
      <c r="R115" s="419">
        <f>SUMIFS('boc xe'!AI$2:AI$27,'boc xe'!$B$2:$B$27,'chia CN boc xe'!$C115)</f>
        <v>0</v>
      </c>
      <c r="S115" s="419">
        <f>SUMIFS('boc xe'!AJ$2:AJ$27,'boc xe'!$B$2:$B$27,'chia CN boc xe'!$C115)</f>
        <v>0</v>
      </c>
    </row>
    <row r="116" spans="1:19" x14ac:dyDescent="0.25">
      <c r="A116" s="421">
        <f t="shared" si="33"/>
        <v>115</v>
      </c>
      <c r="B116" s="552"/>
      <c r="C116" s="421"/>
      <c r="D116" s="419">
        <f>SUMIFS('boc xe'!U$2:U$27,'boc xe'!$B$2:$B$27,'chia CN boc xe'!$C116)</f>
        <v>0</v>
      </c>
      <c r="E116" s="419">
        <f>SUMIFS('boc xe'!V$2:V$27,'boc xe'!$B$2:$B$27,'chia CN boc xe'!$C116)</f>
        <v>0</v>
      </c>
      <c r="F116" s="419">
        <f>SUMIFS('boc xe'!W$2:W$27,'boc xe'!$B$2:$B$27,'chia CN boc xe'!$C116)</f>
        <v>0</v>
      </c>
      <c r="G116" s="419">
        <f>SUMIFS('boc xe'!X$2:X$27,'boc xe'!$B$2:$B$27,'chia CN boc xe'!$C116)</f>
        <v>0</v>
      </c>
      <c r="H116" s="419">
        <f>SUMIFS('boc xe'!Y$2:Y$27,'boc xe'!$B$2:$B$27,'chia CN boc xe'!$C116)</f>
        <v>0</v>
      </c>
      <c r="I116" s="419">
        <f>SUMIFS('boc xe'!Z$2:Z$27,'boc xe'!$B$2:$B$27,'chia CN boc xe'!$C116)</f>
        <v>0</v>
      </c>
      <c r="J116" s="419">
        <f>SUMIFS('boc xe'!AA$2:AA$27,'boc xe'!$B$2:$B$27,'chia CN boc xe'!$C116)</f>
        <v>0</v>
      </c>
      <c r="K116" s="419">
        <f>SUMIFS('boc xe'!AB$2:AB$27,'boc xe'!$B$2:$B$27,'chia CN boc xe'!$C116)</f>
        <v>0</v>
      </c>
      <c r="L116" s="419">
        <f>SUMIFS('boc xe'!AC$2:AC$27,'boc xe'!$B$2:$B$27,'chia CN boc xe'!$C116)</f>
        <v>0</v>
      </c>
      <c r="M116" s="419">
        <f>SUMIFS('boc xe'!AD$2:AD$27,'boc xe'!$B$2:$B$27,'chia CN boc xe'!$C116)</f>
        <v>0</v>
      </c>
      <c r="N116" s="419">
        <f>SUMIFS('boc xe'!AE$2:AE$27,'boc xe'!$B$2:$B$27,'chia CN boc xe'!$C116)</f>
        <v>0</v>
      </c>
      <c r="O116" s="419">
        <f>SUMIFS('boc xe'!AF$2:AF$27,'boc xe'!$B$2:$B$27,'chia CN boc xe'!$C116)</f>
        <v>0</v>
      </c>
      <c r="P116" s="419">
        <f>SUMIFS('boc xe'!AG$2:AG$27,'boc xe'!$B$2:$B$27,'chia CN boc xe'!$C116)</f>
        <v>0</v>
      </c>
      <c r="Q116" s="419">
        <f>SUMIFS('boc xe'!AH$2:AH$27,'boc xe'!$B$2:$B$27,'chia CN boc xe'!$C116)</f>
        <v>0</v>
      </c>
      <c r="R116" s="419">
        <f>SUMIFS('boc xe'!AI$2:AI$27,'boc xe'!$B$2:$B$27,'chia CN boc xe'!$C116)</f>
        <v>0</v>
      </c>
      <c r="S116" s="419">
        <f>SUMIFS('boc xe'!AJ$2:AJ$27,'boc xe'!$B$2:$B$27,'chia CN boc xe'!$C116)</f>
        <v>0</v>
      </c>
    </row>
    <row r="117" spans="1:19" x14ac:dyDescent="0.25">
      <c r="A117" s="421">
        <f t="shared" si="33"/>
        <v>116</v>
      </c>
      <c r="B117" s="552"/>
      <c r="C117" s="421"/>
      <c r="D117" s="419">
        <f>SUMIFS('boc xe'!U$2:U$27,'boc xe'!$B$2:$B$27,'chia CN boc xe'!$C117)</f>
        <v>0</v>
      </c>
      <c r="E117" s="419">
        <f>SUMIFS('boc xe'!V$2:V$27,'boc xe'!$B$2:$B$27,'chia CN boc xe'!$C117)</f>
        <v>0</v>
      </c>
      <c r="F117" s="419">
        <f>SUMIFS('boc xe'!W$2:W$27,'boc xe'!$B$2:$B$27,'chia CN boc xe'!$C117)</f>
        <v>0</v>
      </c>
      <c r="G117" s="419">
        <f>SUMIFS('boc xe'!X$2:X$27,'boc xe'!$B$2:$B$27,'chia CN boc xe'!$C117)</f>
        <v>0</v>
      </c>
      <c r="H117" s="419">
        <f>SUMIFS('boc xe'!Y$2:Y$27,'boc xe'!$B$2:$B$27,'chia CN boc xe'!$C117)</f>
        <v>0</v>
      </c>
      <c r="I117" s="419">
        <f>SUMIFS('boc xe'!Z$2:Z$27,'boc xe'!$B$2:$B$27,'chia CN boc xe'!$C117)</f>
        <v>0</v>
      </c>
      <c r="J117" s="419">
        <f>SUMIFS('boc xe'!AA$2:AA$27,'boc xe'!$B$2:$B$27,'chia CN boc xe'!$C117)</f>
        <v>0</v>
      </c>
      <c r="K117" s="419">
        <f>SUMIFS('boc xe'!AB$2:AB$27,'boc xe'!$B$2:$B$27,'chia CN boc xe'!$C117)</f>
        <v>0</v>
      </c>
      <c r="L117" s="419">
        <f>SUMIFS('boc xe'!AC$2:AC$27,'boc xe'!$B$2:$B$27,'chia CN boc xe'!$C117)</f>
        <v>0</v>
      </c>
      <c r="M117" s="419">
        <f>SUMIFS('boc xe'!AD$2:AD$27,'boc xe'!$B$2:$B$27,'chia CN boc xe'!$C117)</f>
        <v>0</v>
      </c>
      <c r="N117" s="419">
        <f>SUMIFS('boc xe'!AE$2:AE$27,'boc xe'!$B$2:$B$27,'chia CN boc xe'!$C117)</f>
        <v>0</v>
      </c>
      <c r="O117" s="419">
        <f>SUMIFS('boc xe'!AF$2:AF$27,'boc xe'!$B$2:$B$27,'chia CN boc xe'!$C117)</f>
        <v>0</v>
      </c>
      <c r="P117" s="419">
        <f>SUMIFS('boc xe'!AG$2:AG$27,'boc xe'!$B$2:$B$27,'chia CN boc xe'!$C117)</f>
        <v>0</v>
      </c>
      <c r="Q117" s="419">
        <f>SUMIFS('boc xe'!AH$2:AH$27,'boc xe'!$B$2:$B$27,'chia CN boc xe'!$C117)</f>
        <v>0</v>
      </c>
      <c r="R117" s="419">
        <f>SUMIFS('boc xe'!AI$2:AI$27,'boc xe'!$B$2:$B$27,'chia CN boc xe'!$C117)</f>
        <v>0</v>
      </c>
      <c r="S117" s="419">
        <f>SUMIFS('boc xe'!AJ$2:AJ$27,'boc xe'!$B$2:$B$27,'chia CN boc xe'!$C117)</f>
        <v>0</v>
      </c>
    </row>
    <row r="118" spans="1:19" x14ac:dyDescent="0.25">
      <c r="A118" s="421">
        <f t="shared" si="33"/>
        <v>117</v>
      </c>
      <c r="B118" s="552"/>
      <c r="C118" s="421"/>
      <c r="D118" s="419">
        <f>SUMIFS('boc xe'!U$2:U$27,'boc xe'!$B$2:$B$27,'chia CN boc xe'!$C118)</f>
        <v>0</v>
      </c>
      <c r="E118" s="419">
        <f>SUMIFS('boc xe'!V$2:V$27,'boc xe'!$B$2:$B$27,'chia CN boc xe'!$C118)</f>
        <v>0</v>
      </c>
      <c r="F118" s="419">
        <f>SUMIFS('boc xe'!W$2:W$27,'boc xe'!$B$2:$B$27,'chia CN boc xe'!$C118)</f>
        <v>0</v>
      </c>
      <c r="G118" s="419">
        <f>SUMIFS('boc xe'!X$2:X$27,'boc xe'!$B$2:$B$27,'chia CN boc xe'!$C118)</f>
        <v>0</v>
      </c>
      <c r="H118" s="419">
        <f>SUMIFS('boc xe'!Y$2:Y$27,'boc xe'!$B$2:$B$27,'chia CN boc xe'!$C118)</f>
        <v>0</v>
      </c>
      <c r="I118" s="419">
        <f>SUMIFS('boc xe'!Z$2:Z$27,'boc xe'!$B$2:$B$27,'chia CN boc xe'!$C118)</f>
        <v>0</v>
      </c>
      <c r="J118" s="419">
        <f>SUMIFS('boc xe'!AA$2:AA$27,'boc xe'!$B$2:$B$27,'chia CN boc xe'!$C118)</f>
        <v>0</v>
      </c>
      <c r="K118" s="419">
        <f>SUMIFS('boc xe'!AB$2:AB$27,'boc xe'!$B$2:$B$27,'chia CN boc xe'!$C118)</f>
        <v>0</v>
      </c>
      <c r="L118" s="419">
        <f>SUMIFS('boc xe'!AC$2:AC$27,'boc xe'!$B$2:$B$27,'chia CN boc xe'!$C118)</f>
        <v>0</v>
      </c>
      <c r="M118" s="419">
        <f>SUMIFS('boc xe'!AD$2:AD$27,'boc xe'!$B$2:$B$27,'chia CN boc xe'!$C118)</f>
        <v>0</v>
      </c>
      <c r="N118" s="419">
        <f>SUMIFS('boc xe'!AE$2:AE$27,'boc xe'!$B$2:$B$27,'chia CN boc xe'!$C118)</f>
        <v>0</v>
      </c>
      <c r="O118" s="419">
        <f>SUMIFS('boc xe'!AF$2:AF$27,'boc xe'!$B$2:$B$27,'chia CN boc xe'!$C118)</f>
        <v>0</v>
      </c>
      <c r="P118" s="419">
        <f>SUMIFS('boc xe'!AG$2:AG$27,'boc xe'!$B$2:$B$27,'chia CN boc xe'!$C118)</f>
        <v>0</v>
      </c>
      <c r="Q118" s="419">
        <f>SUMIFS('boc xe'!AH$2:AH$27,'boc xe'!$B$2:$B$27,'chia CN boc xe'!$C118)</f>
        <v>0</v>
      </c>
      <c r="R118" s="419">
        <f>SUMIFS('boc xe'!AI$2:AI$27,'boc xe'!$B$2:$B$27,'chia CN boc xe'!$C118)</f>
        <v>0</v>
      </c>
      <c r="S118" s="419">
        <f>SUMIFS('boc xe'!AJ$2:AJ$27,'boc xe'!$B$2:$B$27,'chia CN boc xe'!$C118)</f>
        <v>0</v>
      </c>
    </row>
    <row r="119" spans="1:19" x14ac:dyDescent="0.25">
      <c r="A119" s="421">
        <f t="shared" si="33"/>
        <v>118</v>
      </c>
      <c r="B119" s="552"/>
      <c r="C119" s="421"/>
      <c r="D119" s="419">
        <f>SUMIFS('boc xe'!U$2:U$27,'boc xe'!$B$2:$B$27,'chia CN boc xe'!$C119)</f>
        <v>0</v>
      </c>
      <c r="E119" s="419">
        <f>SUMIFS('boc xe'!V$2:V$27,'boc xe'!$B$2:$B$27,'chia CN boc xe'!$C119)</f>
        <v>0</v>
      </c>
      <c r="F119" s="419">
        <f>SUMIFS('boc xe'!W$2:W$27,'boc xe'!$B$2:$B$27,'chia CN boc xe'!$C119)</f>
        <v>0</v>
      </c>
      <c r="G119" s="419">
        <f>SUMIFS('boc xe'!X$2:X$27,'boc xe'!$B$2:$B$27,'chia CN boc xe'!$C119)</f>
        <v>0</v>
      </c>
      <c r="H119" s="419">
        <f>SUMIFS('boc xe'!Y$2:Y$27,'boc xe'!$B$2:$B$27,'chia CN boc xe'!$C119)</f>
        <v>0</v>
      </c>
      <c r="I119" s="419">
        <f>SUMIFS('boc xe'!Z$2:Z$27,'boc xe'!$B$2:$B$27,'chia CN boc xe'!$C119)</f>
        <v>0</v>
      </c>
      <c r="J119" s="419">
        <f>SUMIFS('boc xe'!AA$2:AA$27,'boc xe'!$B$2:$B$27,'chia CN boc xe'!$C119)</f>
        <v>0</v>
      </c>
      <c r="K119" s="419">
        <f>SUMIFS('boc xe'!AB$2:AB$27,'boc xe'!$B$2:$B$27,'chia CN boc xe'!$C119)</f>
        <v>0</v>
      </c>
      <c r="L119" s="419">
        <f>SUMIFS('boc xe'!AC$2:AC$27,'boc xe'!$B$2:$B$27,'chia CN boc xe'!$C119)</f>
        <v>0</v>
      </c>
      <c r="M119" s="419">
        <f>SUMIFS('boc xe'!AD$2:AD$27,'boc xe'!$B$2:$B$27,'chia CN boc xe'!$C119)</f>
        <v>0</v>
      </c>
      <c r="N119" s="419">
        <f>SUMIFS('boc xe'!AE$2:AE$27,'boc xe'!$B$2:$B$27,'chia CN boc xe'!$C119)</f>
        <v>0</v>
      </c>
      <c r="O119" s="419">
        <f>SUMIFS('boc xe'!AF$2:AF$27,'boc xe'!$B$2:$B$27,'chia CN boc xe'!$C119)</f>
        <v>0</v>
      </c>
      <c r="P119" s="419">
        <f>SUMIFS('boc xe'!AG$2:AG$27,'boc xe'!$B$2:$B$27,'chia CN boc xe'!$C119)</f>
        <v>0</v>
      </c>
      <c r="Q119" s="419">
        <f>SUMIFS('boc xe'!AH$2:AH$27,'boc xe'!$B$2:$B$27,'chia CN boc xe'!$C119)</f>
        <v>0</v>
      </c>
      <c r="R119" s="419">
        <f>SUMIFS('boc xe'!AI$2:AI$27,'boc xe'!$B$2:$B$27,'chia CN boc xe'!$C119)</f>
        <v>0</v>
      </c>
      <c r="S119" s="419">
        <f>SUMIFS('boc xe'!AJ$2:AJ$27,'boc xe'!$B$2:$B$27,'chia CN boc xe'!$C119)</f>
        <v>0</v>
      </c>
    </row>
    <row r="120" spans="1:19" x14ac:dyDescent="0.25">
      <c r="A120" s="421">
        <f t="shared" si="33"/>
        <v>119</v>
      </c>
      <c r="B120" s="552"/>
      <c r="C120" s="421"/>
      <c r="D120" s="419">
        <f>SUMIFS('boc xe'!U$2:U$27,'boc xe'!$B$2:$B$27,'chia CN boc xe'!$C120)</f>
        <v>0</v>
      </c>
      <c r="E120" s="419">
        <f>SUMIFS('boc xe'!V$2:V$27,'boc xe'!$B$2:$B$27,'chia CN boc xe'!$C120)</f>
        <v>0</v>
      </c>
      <c r="F120" s="419">
        <f>SUMIFS('boc xe'!W$2:W$27,'boc xe'!$B$2:$B$27,'chia CN boc xe'!$C120)</f>
        <v>0</v>
      </c>
      <c r="G120" s="419">
        <f>SUMIFS('boc xe'!X$2:X$27,'boc xe'!$B$2:$B$27,'chia CN boc xe'!$C120)</f>
        <v>0</v>
      </c>
      <c r="H120" s="419">
        <f>SUMIFS('boc xe'!Y$2:Y$27,'boc xe'!$B$2:$B$27,'chia CN boc xe'!$C120)</f>
        <v>0</v>
      </c>
      <c r="I120" s="419">
        <f>SUMIFS('boc xe'!Z$2:Z$27,'boc xe'!$B$2:$B$27,'chia CN boc xe'!$C120)</f>
        <v>0</v>
      </c>
      <c r="J120" s="419">
        <f>SUMIFS('boc xe'!AA$2:AA$27,'boc xe'!$B$2:$B$27,'chia CN boc xe'!$C120)</f>
        <v>0</v>
      </c>
      <c r="K120" s="419">
        <f>SUMIFS('boc xe'!AB$2:AB$27,'boc xe'!$B$2:$B$27,'chia CN boc xe'!$C120)</f>
        <v>0</v>
      </c>
      <c r="L120" s="419">
        <f>SUMIFS('boc xe'!AC$2:AC$27,'boc xe'!$B$2:$B$27,'chia CN boc xe'!$C120)</f>
        <v>0</v>
      </c>
      <c r="M120" s="419">
        <f>SUMIFS('boc xe'!AD$2:AD$27,'boc xe'!$B$2:$B$27,'chia CN boc xe'!$C120)</f>
        <v>0</v>
      </c>
      <c r="N120" s="419">
        <f>SUMIFS('boc xe'!AE$2:AE$27,'boc xe'!$B$2:$B$27,'chia CN boc xe'!$C120)</f>
        <v>0</v>
      </c>
      <c r="O120" s="419">
        <f>SUMIFS('boc xe'!AF$2:AF$27,'boc xe'!$B$2:$B$27,'chia CN boc xe'!$C120)</f>
        <v>0</v>
      </c>
      <c r="P120" s="419">
        <f>SUMIFS('boc xe'!AG$2:AG$27,'boc xe'!$B$2:$B$27,'chia CN boc xe'!$C120)</f>
        <v>0</v>
      </c>
      <c r="Q120" s="419">
        <f>SUMIFS('boc xe'!AH$2:AH$27,'boc xe'!$B$2:$B$27,'chia CN boc xe'!$C120)</f>
        <v>0</v>
      </c>
      <c r="R120" s="419">
        <f>SUMIFS('boc xe'!AI$2:AI$27,'boc xe'!$B$2:$B$27,'chia CN boc xe'!$C120)</f>
        <v>0</v>
      </c>
      <c r="S120" s="419">
        <f>SUMIFS('boc xe'!AJ$2:AJ$27,'boc xe'!$B$2:$B$27,'chia CN boc xe'!$C120)</f>
        <v>0</v>
      </c>
    </row>
    <row r="121" spans="1:19" x14ac:dyDescent="0.25">
      <c r="A121" s="421">
        <f t="shared" si="33"/>
        <v>120</v>
      </c>
      <c r="B121" s="552"/>
      <c r="C121" s="421"/>
      <c r="D121" s="419">
        <f>SUMIFS('boc xe'!U$2:U$27,'boc xe'!$B$2:$B$27,'chia CN boc xe'!$C121)</f>
        <v>0</v>
      </c>
      <c r="E121" s="419">
        <f>SUMIFS('boc xe'!V$2:V$27,'boc xe'!$B$2:$B$27,'chia CN boc xe'!$C121)</f>
        <v>0</v>
      </c>
      <c r="F121" s="419">
        <f>SUMIFS('boc xe'!W$2:W$27,'boc xe'!$B$2:$B$27,'chia CN boc xe'!$C121)</f>
        <v>0</v>
      </c>
      <c r="G121" s="419">
        <f>SUMIFS('boc xe'!X$2:X$27,'boc xe'!$B$2:$B$27,'chia CN boc xe'!$C121)</f>
        <v>0</v>
      </c>
      <c r="H121" s="419">
        <f>SUMIFS('boc xe'!Y$2:Y$27,'boc xe'!$B$2:$B$27,'chia CN boc xe'!$C121)</f>
        <v>0</v>
      </c>
      <c r="I121" s="419">
        <f>SUMIFS('boc xe'!Z$2:Z$27,'boc xe'!$B$2:$B$27,'chia CN boc xe'!$C121)</f>
        <v>0</v>
      </c>
      <c r="J121" s="419">
        <f>SUMIFS('boc xe'!AA$2:AA$27,'boc xe'!$B$2:$B$27,'chia CN boc xe'!$C121)</f>
        <v>0</v>
      </c>
      <c r="K121" s="419">
        <f>SUMIFS('boc xe'!AB$2:AB$27,'boc xe'!$B$2:$B$27,'chia CN boc xe'!$C121)</f>
        <v>0</v>
      </c>
      <c r="L121" s="419">
        <f>SUMIFS('boc xe'!AC$2:AC$27,'boc xe'!$B$2:$B$27,'chia CN boc xe'!$C121)</f>
        <v>0</v>
      </c>
      <c r="M121" s="419">
        <f>SUMIFS('boc xe'!AD$2:AD$27,'boc xe'!$B$2:$B$27,'chia CN boc xe'!$C121)</f>
        <v>0</v>
      </c>
      <c r="N121" s="419">
        <f>SUMIFS('boc xe'!AE$2:AE$27,'boc xe'!$B$2:$B$27,'chia CN boc xe'!$C121)</f>
        <v>0</v>
      </c>
      <c r="O121" s="419">
        <f>SUMIFS('boc xe'!AF$2:AF$27,'boc xe'!$B$2:$B$27,'chia CN boc xe'!$C121)</f>
        <v>0</v>
      </c>
      <c r="P121" s="419">
        <f>SUMIFS('boc xe'!AG$2:AG$27,'boc xe'!$B$2:$B$27,'chia CN boc xe'!$C121)</f>
        <v>0</v>
      </c>
      <c r="Q121" s="419">
        <f>SUMIFS('boc xe'!AH$2:AH$27,'boc xe'!$B$2:$B$27,'chia CN boc xe'!$C121)</f>
        <v>0</v>
      </c>
      <c r="R121" s="419">
        <f>SUMIFS('boc xe'!AI$2:AI$27,'boc xe'!$B$2:$B$27,'chia CN boc xe'!$C121)</f>
        <v>0</v>
      </c>
      <c r="S121" s="419">
        <f>SUMIFS('boc xe'!AJ$2:AJ$27,'boc xe'!$B$2:$B$27,'chia CN boc xe'!$C121)</f>
        <v>0</v>
      </c>
    </row>
    <row r="122" spans="1:19" x14ac:dyDescent="0.25">
      <c r="A122" s="421">
        <f t="shared" si="33"/>
        <v>121</v>
      </c>
      <c r="B122" s="552"/>
      <c r="C122" s="421"/>
      <c r="D122" s="419">
        <f>SUMIFS('boc xe'!U$2:U$27,'boc xe'!$B$2:$B$27,'chia CN boc xe'!$C122)</f>
        <v>0</v>
      </c>
      <c r="E122" s="419">
        <f>SUMIFS('boc xe'!V$2:V$27,'boc xe'!$B$2:$B$27,'chia CN boc xe'!$C122)</f>
        <v>0</v>
      </c>
      <c r="F122" s="419">
        <f>SUMIFS('boc xe'!W$2:W$27,'boc xe'!$B$2:$B$27,'chia CN boc xe'!$C122)</f>
        <v>0</v>
      </c>
      <c r="G122" s="419">
        <f>SUMIFS('boc xe'!X$2:X$27,'boc xe'!$B$2:$B$27,'chia CN boc xe'!$C122)</f>
        <v>0</v>
      </c>
      <c r="H122" s="419">
        <f>SUMIFS('boc xe'!Y$2:Y$27,'boc xe'!$B$2:$B$27,'chia CN boc xe'!$C122)</f>
        <v>0</v>
      </c>
      <c r="I122" s="419">
        <f>SUMIFS('boc xe'!Z$2:Z$27,'boc xe'!$B$2:$B$27,'chia CN boc xe'!$C122)</f>
        <v>0</v>
      </c>
      <c r="J122" s="419">
        <f>SUMIFS('boc xe'!AA$2:AA$27,'boc xe'!$B$2:$B$27,'chia CN boc xe'!$C122)</f>
        <v>0</v>
      </c>
      <c r="K122" s="419">
        <f>SUMIFS('boc xe'!AB$2:AB$27,'boc xe'!$B$2:$B$27,'chia CN boc xe'!$C122)</f>
        <v>0</v>
      </c>
      <c r="L122" s="419">
        <f>SUMIFS('boc xe'!AC$2:AC$27,'boc xe'!$B$2:$B$27,'chia CN boc xe'!$C122)</f>
        <v>0</v>
      </c>
      <c r="M122" s="419">
        <f>SUMIFS('boc xe'!AD$2:AD$27,'boc xe'!$B$2:$B$27,'chia CN boc xe'!$C122)</f>
        <v>0</v>
      </c>
      <c r="N122" s="419">
        <f>SUMIFS('boc xe'!AE$2:AE$27,'boc xe'!$B$2:$B$27,'chia CN boc xe'!$C122)</f>
        <v>0</v>
      </c>
      <c r="O122" s="419">
        <f>SUMIFS('boc xe'!AF$2:AF$27,'boc xe'!$B$2:$B$27,'chia CN boc xe'!$C122)</f>
        <v>0</v>
      </c>
      <c r="P122" s="419">
        <f>SUMIFS('boc xe'!AG$2:AG$27,'boc xe'!$B$2:$B$27,'chia CN boc xe'!$C122)</f>
        <v>0</v>
      </c>
      <c r="Q122" s="419">
        <f>SUMIFS('boc xe'!AH$2:AH$27,'boc xe'!$B$2:$B$27,'chia CN boc xe'!$C122)</f>
        <v>0</v>
      </c>
      <c r="R122" s="419">
        <f>SUMIFS('boc xe'!AI$2:AI$27,'boc xe'!$B$2:$B$27,'chia CN boc xe'!$C122)</f>
        <v>0</v>
      </c>
      <c r="S122" s="419">
        <f>SUMIFS('boc xe'!AJ$2:AJ$27,'boc xe'!$B$2:$B$27,'chia CN boc xe'!$C122)</f>
        <v>0</v>
      </c>
    </row>
    <row r="123" spans="1:19" x14ac:dyDescent="0.25">
      <c r="A123" s="421">
        <f t="shared" ref="A123:A138" si="50">A122+1</f>
        <v>122</v>
      </c>
      <c r="B123" s="552"/>
      <c r="C123" s="421"/>
      <c r="D123" s="419">
        <f>SUMIFS('boc xe'!U$2:U$27,'boc xe'!$B$2:$B$27,'chia CN boc xe'!$C123)</f>
        <v>0</v>
      </c>
      <c r="E123" s="419">
        <f>SUMIFS('boc xe'!V$2:V$27,'boc xe'!$B$2:$B$27,'chia CN boc xe'!$C123)</f>
        <v>0</v>
      </c>
      <c r="F123" s="419">
        <f>SUMIFS('boc xe'!W$2:W$27,'boc xe'!$B$2:$B$27,'chia CN boc xe'!$C123)</f>
        <v>0</v>
      </c>
      <c r="G123" s="419">
        <f>SUMIFS('boc xe'!X$2:X$27,'boc xe'!$B$2:$B$27,'chia CN boc xe'!$C123)</f>
        <v>0</v>
      </c>
      <c r="H123" s="419">
        <f>SUMIFS('boc xe'!Y$2:Y$27,'boc xe'!$B$2:$B$27,'chia CN boc xe'!$C123)</f>
        <v>0</v>
      </c>
      <c r="I123" s="419">
        <f>SUMIFS('boc xe'!Z$2:Z$27,'boc xe'!$B$2:$B$27,'chia CN boc xe'!$C123)</f>
        <v>0</v>
      </c>
      <c r="J123" s="419">
        <f>SUMIFS('boc xe'!AA$2:AA$27,'boc xe'!$B$2:$B$27,'chia CN boc xe'!$C123)</f>
        <v>0</v>
      </c>
      <c r="K123" s="419">
        <f>SUMIFS('boc xe'!AB$2:AB$27,'boc xe'!$B$2:$B$27,'chia CN boc xe'!$C123)</f>
        <v>0</v>
      </c>
      <c r="L123" s="419">
        <f>SUMIFS('boc xe'!AC$2:AC$27,'boc xe'!$B$2:$B$27,'chia CN boc xe'!$C123)</f>
        <v>0</v>
      </c>
      <c r="M123" s="419">
        <f>SUMIFS('boc xe'!AD$2:AD$27,'boc xe'!$B$2:$B$27,'chia CN boc xe'!$C123)</f>
        <v>0</v>
      </c>
      <c r="N123" s="419">
        <f>SUMIFS('boc xe'!AE$2:AE$27,'boc xe'!$B$2:$B$27,'chia CN boc xe'!$C123)</f>
        <v>0</v>
      </c>
      <c r="O123" s="419">
        <f>SUMIFS('boc xe'!AF$2:AF$27,'boc xe'!$B$2:$B$27,'chia CN boc xe'!$C123)</f>
        <v>0</v>
      </c>
      <c r="P123" s="419">
        <f>SUMIFS('boc xe'!AG$2:AG$27,'boc xe'!$B$2:$B$27,'chia CN boc xe'!$C123)</f>
        <v>0</v>
      </c>
      <c r="Q123" s="419">
        <f>SUMIFS('boc xe'!AH$2:AH$27,'boc xe'!$B$2:$B$27,'chia CN boc xe'!$C123)</f>
        <v>0</v>
      </c>
      <c r="R123" s="419">
        <f>SUMIFS('boc xe'!AI$2:AI$27,'boc xe'!$B$2:$B$27,'chia CN boc xe'!$C123)</f>
        <v>0</v>
      </c>
      <c r="S123" s="419">
        <f>SUMIFS('boc xe'!AJ$2:AJ$27,'boc xe'!$B$2:$B$27,'chia CN boc xe'!$C123)</f>
        <v>0</v>
      </c>
    </row>
    <row r="124" spans="1:19" x14ac:dyDescent="0.25">
      <c r="A124" s="421">
        <f t="shared" si="50"/>
        <v>123</v>
      </c>
      <c r="B124" s="552"/>
      <c r="C124" s="421"/>
      <c r="D124" s="419">
        <f>SUMIFS('boc xe'!U$2:U$27,'boc xe'!$B$2:$B$27,'chia CN boc xe'!$C124)</f>
        <v>0</v>
      </c>
      <c r="E124" s="419">
        <f>SUMIFS('boc xe'!V$2:V$27,'boc xe'!$B$2:$B$27,'chia CN boc xe'!$C124)</f>
        <v>0</v>
      </c>
      <c r="F124" s="419">
        <f>SUMIFS('boc xe'!W$2:W$27,'boc xe'!$B$2:$B$27,'chia CN boc xe'!$C124)</f>
        <v>0</v>
      </c>
      <c r="G124" s="419">
        <f>SUMIFS('boc xe'!X$2:X$27,'boc xe'!$B$2:$B$27,'chia CN boc xe'!$C124)</f>
        <v>0</v>
      </c>
      <c r="H124" s="419">
        <f>SUMIFS('boc xe'!Y$2:Y$27,'boc xe'!$B$2:$B$27,'chia CN boc xe'!$C124)</f>
        <v>0</v>
      </c>
      <c r="I124" s="419">
        <f>SUMIFS('boc xe'!Z$2:Z$27,'boc xe'!$B$2:$B$27,'chia CN boc xe'!$C124)</f>
        <v>0</v>
      </c>
      <c r="J124" s="419">
        <f>SUMIFS('boc xe'!AA$2:AA$27,'boc xe'!$B$2:$B$27,'chia CN boc xe'!$C124)</f>
        <v>0</v>
      </c>
      <c r="K124" s="419">
        <f>SUMIFS('boc xe'!AB$2:AB$27,'boc xe'!$B$2:$B$27,'chia CN boc xe'!$C124)</f>
        <v>0</v>
      </c>
      <c r="L124" s="419">
        <f>SUMIFS('boc xe'!AC$2:AC$27,'boc xe'!$B$2:$B$27,'chia CN boc xe'!$C124)</f>
        <v>0</v>
      </c>
      <c r="M124" s="419">
        <f>SUMIFS('boc xe'!AD$2:AD$27,'boc xe'!$B$2:$B$27,'chia CN boc xe'!$C124)</f>
        <v>0</v>
      </c>
      <c r="N124" s="419">
        <f>SUMIFS('boc xe'!AE$2:AE$27,'boc xe'!$B$2:$B$27,'chia CN boc xe'!$C124)</f>
        <v>0</v>
      </c>
      <c r="O124" s="419">
        <f>SUMIFS('boc xe'!AF$2:AF$27,'boc xe'!$B$2:$B$27,'chia CN boc xe'!$C124)</f>
        <v>0</v>
      </c>
      <c r="P124" s="419">
        <f>SUMIFS('boc xe'!AG$2:AG$27,'boc xe'!$B$2:$B$27,'chia CN boc xe'!$C124)</f>
        <v>0</v>
      </c>
      <c r="Q124" s="419">
        <f>SUMIFS('boc xe'!AH$2:AH$27,'boc xe'!$B$2:$B$27,'chia CN boc xe'!$C124)</f>
        <v>0</v>
      </c>
      <c r="R124" s="419">
        <f>SUMIFS('boc xe'!AI$2:AI$27,'boc xe'!$B$2:$B$27,'chia CN boc xe'!$C124)</f>
        <v>0</v>
      </c>
      <c r="S124" s="419">
        <f>SUMIFS('boc xe'!AJ$2:AJ$27,'boc xe'!$B$2:$B$27,'chia CN boc xe'!$C124)</f>
        <v>0</v>
      </c>
    </row>
    <row r="125" spans="1:19" x14ac:dyDescent="0.25">
      <c r="A125" s="421">
        <f t="shared" si="50"/>
        <v>124</v>
      </c>
      <c r="B125" s="552"/>
      <c r="C125" s="421"/>
      <c r="D125" s="419">
        <f>SUMIFS('boc xe'!U$2:U$27,'boc xe'!$B$2:$B$27,'chia CN boc xe'!$C125)</f>
        <v>0</v>
      </c>
      <c r="E125" s="419">
        <f>SUMIFS('boc xe'!V$2:V$27,'boc xe'!$B$2:$B$27,'chia CN boc xe'!$C125)</f>
        <v>0</v>
      </c>
      <c r="F125" s="419">
        <f>SUMIFS('boc xe'!W$2:W$27,'boc xe'!$B$2:$B$27,'chia CN boc xe'!$C125)</f>
        <v>0</v>
      </c>
      <c r="G125" s="419">
        <f>SUMIFS('boc xe'!X$2:X$27,'boc xe'!$B$2:$B$27,'chia CN boc xe'!$C125)</f>
        <v>0</v>
      </c>
      <c r="H125" s="419">
        <f>SUMIFS('boc xe'!Y$2:Y$27,'boc xe'!$B$2:$B$27,'chia CN boc xe'!$C125)</f>
        <v>0</v>
      </c>
      <c r="I125" s="419">
        <f>SUMIFS('boc xe'!Z$2:Z$27,'boc xe'!$B$2:$B$27,'chia CN boc xe'!$C125)</f>
        <v>0</v>
      </c>
      <c r="J125" s="419">
        <f>SUMIFS('boc xe'!AA$2:AA$27,'boc xe'!$B$2:$B$27,'chia CN boc xe'!$C125)</f>
        <v>0</v>
      </c>
      <c r="K125" s="419">
        <f>SUMIFS('boc xe'!AB$2:AB$27,'boc xe'!$B$2:$B$27,'chia CN boc xe'!$C125)</f>
        <v>0</v>
      </c>
      <c r="L125" s="419">
        <f>SUMIFS('boc xe'!AC$2:AC$27,'boc xe'!$B$2:$B$27,'chia CN boc xe'!$C125)</f>
        <v>0</v>
      </c>
      <c r="M125" s="419">
        <f>SUMIFS('boc xe'!AD$2:AD$27,'boc xe'!$B$2:$B$27,'chia CN boc xe'!$C125)</f>
        <v>0</v>
      </c>
      <c r="N125" s="419">
        <f>SUMIFS('boc xe'!AE$2:AE$27,'boc xe'!$B$2:$B$27,'chia CN boc xe'!$C125)</f>
        <v>0</v>
      </c>
      <c r="O125" s="419">
        <f>SUMIFS('boc xe'!AF$2:AF$27,'boc xe'!$B$2:$B$27,'chia CN boc xe'!$C125)</f>
        <v>0</v>
      </c>
      <c r="P125" s="419">
        <f>SUMIFS('boc xe'!AG$2:AG$27,'boc xe'!$B$2:$B$27,'chia CN boc xe'!$C125)</f>
        <v>0</v>
      </c>
      <c r="Q125" s="419">
        <f>SUMIFS('boc xe'!AH$2:AH$27,'boc xe'!$B$2:$B$27,'chia CN boc xe'!$C125)</f>
        <v>0</v>
      </c>
      <c r="R125" s="419">
        <f>SUMIFS('boc xe'!AI$2:AI$27,'boc xe'!$B$2:$B$27,'chia CN boc xe'!$C125)</f>
        <v>0</v>
      </c>
      <c r="S125" s="419">
        <f>SUMIFS('boc xe'!AJ$2:AJ$27,'boc xe'!$B$2:$B$27,'chia CN boc xe'!$C125)</f>
        <v>0</v>
      </c>
    </row>
    <row r="126" spans="1:19" x14ac:dyDescent="0.25">
      <c r="A126" s="421">
        <f t="shared" si="50"/>
        <v>125</v>
      </c>
      <c r="B126" s="552"/>
      <c r="C126" s="35"/>
      <c r="D126" s="419">
        <f>SUMIFS('boc xe'!U$2:U$27,'boc xe'!$B$2:$B$27,'chia CN boc xe'!$C126)</f>
        <v>0</v>
      </c>
      <c r="E126" s="419">
        <f>SUMIFS('boc xe'!V$2:V$27,'boc xe'!$B$2:$B$27,'chia CN boc xe'!$C126)</f>
        <v>0</v>
      </c>
      <c r="F126" s="419">
        <f>SUMIFS('boc xe'!W$2:W$27,'boc xe'!$B$2:$B$27,'chia CN boc xe'!$C126)</f>
        <v>0</v>
      </c>
      <c r="G126" s="419">
        <f>SUMIFS('boc xe'!X$2:X$27,'boc xe'!$B$2:$B$27,'chia CN boc xe'!$C126)</f>
        <v>0</v>
      </c>
      <c r="H126" s="419">
        <f>SUMIFS('boc xe'!Y$2:Y$27,'boc xe'!$B$2:$B$27,'chia CN boc xe'!$C126)</f>
        <v>0</v>
      </c>
      <c r="I126" s="419">
        <f>SUMIFS('boc xe'!Z$2:Z$27,'boc xe'!$B$2:$B$27,'chia CN boc xe'!$C126)</f>
        <v>0</v>
      </c>
      <c r="J126" s="419">
        <f>SUMIFS('boc xe'!AA$2:AA$27,'boc xe'!$B$2:$B$27,'chia CN boc xe'!$C126)</f>
        <v>0</v>
      </c>
      <c r="K126" s="419">
        <f>SUMIFS('boc xe'!AB$2:AB$27,'boc xe'!$B$2:$B$27,'chia CN boc xe'!$C126)</f>
        <v>0</v>
      </c>
      <c r="L126" s="419">
        <f>SUMIFS('boc xe'!AC$2:AC$27,'boc xe'!$B$2:$B$27,'chia CN boc xe'!$C126)</f>
        <v>0</v>
      </c>
      <c r="M126" s="419">
        <f>SUMIFS('boc xe'!AD$2:AD$27,'boc xe'!$B$2:$B$27,'chia CN boc xe'!$C126)</f>
        <v>0</v>
      </c>
      <c r="N126" s="419">
        <f>SUMIFS('boc xe'!AE$2:AE$27,'boc xe'!$B$2:$B$27,'chia CN boc xe'!$C126)</f>
        <v>0</v>
      </c>
      <c r="O126" s="419">
        <f>SUMIFS('boc xe'!AF$2:AF$27,'boc xe'!$B$2:$B$27,'chia CN boc xe'!$C126)</f>
        <v>0</v>
      </c>
      <c r="P126" s="419">
        <f>SUMIFS('boc xe'!AG$2:AG$27,'boc xe'!$B$2:$B$27,'chia CN boc xe'!$C126)</f>
        <v>0</v>
      </c>
      <c r="Q126" s="419">
        <f>SUMIFS('boc xe'!AH$2:AH$27,'boc xe'!$B$2:$B$27,'chia CN boc xe'!$C126)</f>
        <v>0</v>
      </c>
      <c r="R126" s="419">
        <f>SUMIFS('boc xe'!AI$2:AI$27,'boc xe'!$B$2:$B$27,'chia CN boc xe'!$C126)</f>
        <v>0</v>
      </c>
      <c r="S126" s="419">
        <f>SUMIFS('boc xe'!AJ$2:AJ$27,'boc xe'!$B$2:$B$27,'chia CN boc xe'!$C126)</f>
        <v>0</v>
      </c>
    </row>
    <row r="127" spans="1:19" x14ac:dyDescent="0.25">
      <c r="A127" s="421">
        <f t="shared" si="50"/>
        <v>126</v>
      </c>
      <c r="B127" s="552"/>
      <c r="C127" s="421"/>
      <c r="D127" s="419">
        <f>SUMIFS('boc xe'!U$2:U$27,'boc xe'!$B$2:$B$27,'chia CN boc xe'!$C127)</f>
        <v>0</v>
      </c>
      <c r="E127" s="419">
        <f>SUMIFS('boc xe'!V$2:V$27,'boc xe'!$B$2:$B$27,'chia CN boc xe'!$C127)</f>
        <v>0</v>
      </c>
      <c r="F127" s="419">
        <f>SUMIFS('boc xe'!W$2:W$27,'boc xe'!$B$2:$B$27,'chia CN boc xe'!$C127)</f>
        <v>0</v>
      </c>
      <c r="G127" s="419">
        <f>SUMIFS('boc xe'!X$2:X$27,'boc xe'!$B$2:$B$27,'chia CN boc xe'!$C127)</f>
        <v>0</v>
      </c>
      <c r="H127" s="419">
        <f>SUMIFS('boc xe'!Y$2:Y$27,'boc xe'!$B$2:$B$27,'chia CN boc xe'!$C127)</f>
        <v>0</v>
      </c>
      <c r="I127" s="419">
        <f>SUMIFS('boc xe'!Z$2:Z$27,'boc xe'!$B$2:$B$27,'chia CN boc xe'!$C127)</f>
        <v>0</v>
      </c>
      <c r="J127" s="419">
        <f>SUMIFS('boc xe'!AA$2:AA$27,'boc xe'!$B$2:$B$27,'chia CN boc xe'!$C127)</f>
        <v>0</v>
      </c>
      <c r="K127" s="419">
        <f>SUMIFS('boc xe'!AB$2:AB$27,'boc xe'!$B$2:$B$27,'chia CN boc xe'!$C127)</f>
        <v>0</v>
      </c>
      <c r="L127" s="419">
        <f>SUMIFS('boc xe'!AC$2:AC$27,'boc xe'!$B$2:$B$27,'chia CN boc xe'!$C127)</f>
        <v>0</v>
      </c>
      <c r="M127" s="419">
        <f>SUMIFS('boc xe'!AD$2:AD$27,'boc xe'!$B$2:$B$27,'chia CN boc xe'!$C127)</f>
        <v>0</v>
      </c>
      <c r="N127" s="419">
        <f>SUMIFS('boc xe'!AE$2:AE$27,'boc xe'!$B$2:$B$27,'chia CN boc xe'!$C127)</f>
        <v>0</v>
      </c>
      <c r="O127" s="419">
        <f>SUMIFS('boc xe'!AF$2:AF$27,'boc xe'!$B$2:$B$27,'chia CN boc xe'!$C127)</f>
        <v>0</v>
      </c>
      <c r="P127" s="419">
        <f>SUMIFS('boc xe'!AG$2:AG$27,'boc xe'!$B$2:$B$27,'chia CN boc xe'!$C127)</f>
        <v>0</v>
      </c>
      <c r="Q127" s="419">
        <f>SUMIFS('boc xe'!AH$2:AH$27,'boc xe'!$B$2:$B$27,'chia CN boc xe'!$C127)</f>
        <v>0</v>
      </c>
      <c r="R127" s="419">
        <f>SUMIFS('boc xe'!AI$2:AI$27,'boc xe'!$B$2:$B$27,'chia CN boc xe'!$C127)</f>
        <v>0</v>
      </c>
      <c r="S127" s="419">
        <f>SUMIFS('boc xe'!AJ$2:AJ$27,'boc xe'!$B$2:$B$27,'chia CN boc xe'!$C127)</f>
        <v>0</v>
      </c>
    </row>
    <row r="128" spans="1:19" x14ac:dyDescent="0.25">
      <c r="A128" s="421">
        <f t="shared" si="50"/>
        <v>127</v>
      </c>
      <c r="B128" s="552"/>
      <c r="C128" s="421"/>
      <c r="D128" s="419">
        <f>SUMIFS('boc xe'!U$2:U$27,'boc xe'!$B$2:$B$27,'chia CN boc xe'!$C128)</f>
        <v>0</v>
      </c>
      <c r="E128" s="419">
        <f>SUMIFS('boc xe'!V$2:V$27,'boc xe'!$B$2:$B$27,'chia CN boc xe'!$C128)</f>
        <v>0</v>
      </c>
      <c r="F128" s="419">
        <f>SUMIFS('boc xe'!W$2:W$27,'boc xe'!$B$2:$B$27,'chia CN boc xe'!$C128)</f>
        <v>0</v>
      </c>
      <c r="G128" s="419">
        <f>SUMIFS('boc xe'!X$2:X$27,'boc xe'!$B$2:$B$27,'chia CN boc xe'!$C128)</f>
        <v>0</v>
      </c>
      <c r="H128" s="419">
        <f>SUMIFS('boc xe'!Y$2:Y$27,'boc xe'!$B$2:$B$27,'chia CN boc xe'!$C128)</f>
        <v>0</v>
      </c>
      <c r="I128" s="419">
        <f>SUMIFS('boc xe'!Z$2:Z$27,'boc xe'!$B$2:$B$27,'chia CN boc xe'!$C128)</f>
        <v>0</v>
      </c>
      <c r="J128" s="419">
        <f>SUMIFS('boc xe'!AA$2:AA$27,'boc xe'!$B$2:$B$27,'chia CN boc xe'!$C128)</f>
        <v>0</v>
      </c>
      <c r="K128" s="419">
        <f>SUMIFS('boc xe'!AB$2:AB$27,'boc xe'!$B$2:$B$27,'chia CN boc xe'!$C128)</f>
        <v>0</v>
      </c>
      <c r="L128" s="419">
        <f>SUMIFS('boc xe'!AC$2:AC$27,'boc xe'!$B$2:$B$27,'chia CN boc xe'!$C128)</f>
        <v>0</v>
      </c>
      <c r="M128" s="419">
        <f>SUMIFS('boc xe'!AD$2:AD$27,'boc xe'!$B$2:$B$27,'chia CN boc xe'!$C128)</f>
        <v>0</v>
      </c>
      <c r="N128" s="419">
        <f>SUMIFS('boc xe'!AE$2:AE$27,'boc xe'!$B$2:$B$27,'chia CN boc xe'!$C128)</f>
        <v>0</v>
      </c>
      <c r="O128" s="419">
        <f>SUMIFS('boc xe'!AF$2:AF$27,'boc xe'!$B$2:$B$27,'chia CN boc xe'!$C128)</f>
        <v>0</v>
      </c>
      <c r="P128" s="419">
        <f>SUMIFS('boc xe'!AG$2:AG$27,'boc xe'!$B$2:$B$27,'chia CN boc xe'!$C128)</f>
        <v>0</v>
      </c>
      <c r="Q128" s="419">
        <f>SUMIFS('boc xe'!AH$2:AH$27,'boc xe'!$B$2:$B$27,'chia CN boc xe'!$C128)</f>
        <v>0</v>
      </c>
      <c r="R128" s="419">
        <f>SUMIFS('boc xe'!AI$2:AI$27,'boc xe'!$B$2:$B$27,'chia CN boc xe'!$C128)</f>
        <v>0</v>
      </c>
      <c r="S128" s="419">
        <f>SUMIFS('boc xe'!AJ$2:AJ$27,'boc xe'!$B$2:$B$27,'chia CN boc xe'!$C128)</f>
        <v>0</v>
      </c>
    </row>
    <row r="129" spans="1:19" x14ac:dyDescent="0.25">
      <c r="A129" s="421">
        <f t="shared" si="50"/>
        <v>128</v>
      </c>
      <c r="B129" s="552"/>
      <c r="C129" s="421"/>
      <c r="D129" s="419">
        <f>SUMIFS('boc xe'!U$2:U$27,'boc xe'!$B$2:$B$27,'chia CN boc xe'!$C129)</f>
        <v>0</v>
      </c>
      <c r="E129" s="419">
        <f>SUMIFS('boc xe'!V$2:V$27,'boc xe'!$B$2:$B$27,'chia CN boc xe'!$C129)</f>
        <v>0</v>
      </c>
      <c r="F129" s="419">
        <f>SUMIFS('boc xe'!W$2:W$27,'boc xe'!$B$2:$B$27,'chia CN boc xe'!$C129)</f>
        <v>0</v>
      </c>
      <c r="G129" s="419">
        <f>SUMIFS('boc xe'!X$2:X$27,'boc xe'!$B$2:$B$27,'chia CN boc xe'!$C129)</f>
        <v>0</v>
      </c>
      <c r="H129" s="419">
        <f>SUMIFS('boc xe'!Y$2:Y$27,'boc xe'!$B$2:$B$27,'chia CN boc xe'!$C129)</f>
        <v>0</v>
      </c>
      <c r="I129" s="419">
        <f>SUMIFS('boc xe'!Z$2:Z$27,'boc xe'!$B$2:$B$27,'chia CN boc xe'!$C129)</f>
        <v>0</v>
      </c>
      <c r="J129" s="419">
        <f>SUMIFS('boc xe'!AA$2:AA$27,'boc xe'!$B$2:$B$27,'chia CN boc xe'!$C129)</f>
        <v>0</v>
      </c>
      <c r="K129" s="419">
        <f>SUMIFS('boc xe'!AB$2:AB$27,'boc xe'!$B$2:$B$27,'chia CN boc xe'!$C129)</f>
        <v>0</v>
      </c>
      <c r="L129" s="419">
        <f>SUMIFS('boc xe'!AC$2:AC$27,'boc xe'!$B$2:$B$27,'chia CN boc xe'!$C129)</f>
        <v>0</v>
      </c>
      <c r="M129" s="419">
        <f>SUMIFS('boc xe'!AD$2:AD$27,'boc xe'!$B$2:$B$27,'chia CN boc xe'!$C129)</f>
        <v>0</v>
      </c>
      <c r="N129" s="419">
        <f>SUMIFS('boc xe'!AE$2:AE$27,'boc xe'!$B$2:$B$27,'chia CN boc xe'!$C129)</f>
        <v>0</v>
      </c>
      <c r="O129" s="419">
        <f>SUMIFS('boc xe'!AF$2:AF$27,'boc xe'!$B$2:$B$27,'chia CN boc xe'!$C129)</f>
        <v>0</v>
      </c>
      <c r="P129" s="419">
        <f>SUMIFS('boc xe'!AG$2:AG$27,'boc xe'!$B$2:$B$27,'chia CN boc xe'!$C129)</f>
        <v>0</v>
      </c>
      <c r="Q129" s="419">
        <f>SUMIFS('boc xe'!AH$2:AH$27,'boc xe'!$B$2:$B$27,'chia CN boc xe'!$C129)</f>
        <v>0</v>
      </c>
      <c r="R129" s="419">
        <f>SUMIFS('boc xe'!AI$2:AI$27,'boc xe'!$B$2:$B$27,'chia CN boc xe'!$C129)</f>
        <v>0</v>
      </c>
      <c r="S129" s="419">
        <f>SUMIFS('boc xe'!AJ$2:AJ$27,'boc xe'!$B$2:$B$27,'chia CN boc xe'!$C129)</f>
        <v>0</v>
      </c>
    </row>
    <row r="130" spans="1:19" x14ac:dyDescent="0.25">
      <c r="A130" s="421">
        <f t="shared" si="50"/>
        <v>129</v>
      </c>
      <c r="B130" s="552"/>
      <c r="C130" s="421"/>
      <c r="D130" s="419">
        <f>SUMIFS('boc xe'!U$2:U$27,'boc xe'!$B$2:$B$27,'chia CN boc xe'!$C130)</f>
        <v>0</v>
      </c>
      <c r="E130" s="419">
        <f>SUMIFS('boc xe'!V$2:V$27,'boc xe'!$B$2:$B$27,'chia CN boc xe'!$C130)</f>
        <v>0</v>
      </c>
      <c r="F130" s="419">
        <f>SUMIFS('boc xe'!W$2:W$27,'boc xe'!$B$2:$B$27,'chia CN boc xe'!$C130)</f>
        <v>0</v>
      </c>
      <c r="G130" s="419">
        <f>SUMIFS('boc xe'!X$2:X$27,'boc xe'!$B$2:$B$27,'chia CN boc xe'!$C130)</f>
        <v>0</v>
      </c>
      <c r="H130" s="419">
        <f>SUMIFS('boc xe'!Y$2:Y$27,'boc xe'!$B$2:$B$27,'chia CN boc xe'!$C130)</f>
        <v>0</v>
      </c>
      <c r="I130" s="419">
        <f>SUMIFS('boc xe'!Z$2:Z$27,'boc xe'!$B$2:$B$27,'chia CN boc xe'!$C130)</f>
        <v>0</v>
      </c>
      <c r="J130" s="419">
        <f>SUMIFS('boc xe'!AA$2:AA$27,'boc xe'!$B$2:$B$27,'chia CN boc xe'!$C130)</f>
        <v>0</v>
      </c>
      <c r="K130" s="419">
        <f>SUMIFS('boc xe'!AB$2:AB$27,'boc xe'!$B$2:$B$27,'chia CN boc xe'!$C130)</f>
        <v>0</v>
      </c>
      <c r="L130" s="419">
        <f>SUMIFS('boc xe'!AC$2:AC$27,'boc xe'!$B$2:$B$27,'chia CN boc xe'!$C130)</f>
        <v>0</v>
      </c>
      <c r="M130" s="419">
        <f>SUMIFS('boc xe'!AD$2:AD$27,'boc xe'!$B$2:$B$27,'chia CN boc xe'!$C130)</f>
        <v>0</v>
      </c>
      <c r="N130" s="419">
        <f>SUMIFS('boc xe'!AE$2:AE$27,'boc xe'!$B$2:$B$27,'chia CN boc xe'!$C130)</f>
        <v>0</v>
      </c>
      <c r="O130" s="419">
        <f>SUMIFS('boc xe'!AF$2:AF$27,'boc xe'!$B$2:$B$27,'chia CN boc xe'!$C130)</f>
        <v>0</v>
      </c>
      <c r="P130" s="419">
        <f>SUMIFS('boc xe'!AG$2:AG$27,'boc xe'!$B$2:$B$27,'chia CN boc xe'!$C130)</f>
        <v>0</v>
      </c>
      <c r="Q130" s="419">
        <f>SUMIFS('boc xe'!AH$2:AH$27,'boc xe'!$B$2:$B$27,'chia CN boc xe'!$C130)</f>
        <v>0</v>
      </c>
      <c r="R130" s="419">
        <f>SUMIFS('boc xe'!AI$2:AI$27,'boc xe'!$B$2:$B$27,'chia CN boc xe'!$C130)</f>
        <v>0</v>
      </c>
      <c r="S130" s="419">
        <f>SUMIFS('boc xe'!AJ$2:AJ$27,'boc xe'!$B$2:$B$27,'chia CN boc xe'!$C130)</f>
        <v>0</v>
      </c>
    </row>
    <row r="131" spans="1:19" x14ac:dyDescent="0.25">
      <c r="A131" s="421">
        <f t="shared" si="50"/>
        <v>130</v>
      </c>
      <c r="B131" s="552"/>
      <c r="C131" s="421"/>
      <c r="D131" s="419">
        <f>SUMIFS('boc xe'!U$2:U$27,'boc xe'!$B$2:$B$27,'chia CN boc xe'!$C131)</f>
        <v>0</v>
      </c>
      <c r="E131" s="419">
        <f>SUMIFS('boc xe'!V$2:V$27,'boc xe'!$B$2:$B$27,'chia CN boc xe'!$C131)</f>
        <v>0</v>
      </c>
      <c r="F131" s="419">
        <f>SUMIFS('boc xe'!W$2:W$27,'boc xe'!$B$2:$B$27,'chia CN boc xe'!$C131)</f>
        <v>0</v>
      </c>
      <c r="G131" s="419">
        <f>SUMIFS('boc xe'!X$2:X$27,'boc xe'!$B$2:$B$27,'chia CN boc xe'!$C131)</f>
        <v>0</v>
      </c>
      <c r="H131" s="419">
        <f>SUMIFS('boc xe'!Y$2:Y$27,'boc xe'!$B$2:$B$27,'chia CN boc xe'!$C131)</f>
        <v>0</v>
      </c>
      <c r="I131" s="419">
        <f>SUMIFS('boc xe'!Z$2:Z$27,'boc xe'!$B$2:$B$27,'chia CN boc xe'!$C131)</f>
        <v>0</v>
      </c>
      <c r="J131" s="419">
        <f>SUMIFS('boc xe'!AA$2:AA$27,'boc xe'!$B$2:$B$27,'chia CN boc xe'!$C131)</f>
        <v>0</v>
      </c>
      <c r="K131" s="419">
        <f>SUMIFS('boc xe'!AB$2:AB$27,'boc xe'!$B$2:$B$27,'chia CN boc xe'!$C131)</f>
        <v>0</v>
      </c>
      <c r="L131" s="419">
        <f>SUMIFS('boc xe'!AC$2:AC$27,'boc xe'!$B$2:$B$27,'chia CN boc xe'!$C131)</f>
        <v>0</v>
      </c>
      <c r="M131" s="419">
        <f>SUMIFS('boc xe'!AD$2:AD$27,'boc xe'!$B$2:$B$27,'chia CN boc xe'!$C131)</f>
        <v>0</v>
      </c>
      <c r="N131" s="419">
        <f>SUMIFS('boc xe'!AE$2:AE$27,'boc xe'!$B$2:$B$27,'chia CN boc xe'!$C131)</f>
        <v>0</v>
      </c>
      <c r="O131" s="419">
        <f>SUMIFS('boc xe'!AF$2:AF$27,'boc xe'!$B$2:$B$27,'chia CN boc xe'!$C131)</f>
        <v>0</v>
      </c>
      <c r="P131" s="419">
        <f>SUMIFS('boc xe'!AG$2:AG$27,'boc xe'!$B$2:$B$27,'chia CN boc xe'!$C131)</f>
        <v>0</v>
      </c>
      <c r="Q131" s="419">
        <f>SUMIFS('boc xe'!AH$2:AH$27,'boc xe'!$B$2:$B$27,'chia CN boc xe'!$C131)</f>
        <v>0</v>
      </c>
      <c r="R131" s="419">
        <f>SUMIFS('boc xe'!AI$2:AI$27,'boc xe'!$B$2:$B$27,'chia CN boc xe'!$C131)</f>
        <v>0</v>
      </c>
      <c r="S131" s="419">
        <f>SUMIFS('boc xe'!AJ$2:AJ$27,'boc xe'!$B$2:$B$27,'chia CN boc xe'!$C131)</f>
        <v>0</v>
      </c>
    </row>
    <row r="132" spans="1:19" x14ac:dyDescent="0.25">
      <c r="A132" s="421">
        <f t="shared" si="50"/>
        <v>131</v>
      </c>
      <c r="B132" s="552"/>
      <c r="C132" s="421"/>
      <c r="D132" s="419">
        <f>SUMIFS('boc xe'!U$2:U$27,'boc xe'!$B$2:$B$27,'chia CN boc xe'!$C132)</f>
        <v>0</v>
      </c>
      <c r="E132" s="419">
        <f>SUMIFS('boc xe'!V$2:V$27,'boc xe'!$B$2:$B$27,'chia CN boc xe'!$C132)</f>
        <v>0</v>
      </c>
      <c r="F132" s="419">
        <f>SUMIFS('boc xe'!W$2:W$27,'boc xe'!$B$2:$B$27,'chia CN boc xe'!$C132)</f>
        <v>0</v>
      </c>
      <c r="G132" s="419">
        <f>SUMIFS('boc xe'!X$2:X$27,'boc xe'!$B$2:$B$27,'chia CN boc xe'!$C132)</f>
        <v>0</v>
      </c>
      <c r="H132" s="419">
        <f>SUMIFS('boc xe'!Y$2:Y$27,'boc xe'!$B$2:$B$27,'chia CN boc xe'!$C132)</f>
        <v>0</v>
      </c>
      <c r="I132" s="419">
        <f>SUMIFS('boc xe'!Z$2:Z$27,'boc xe'!$B$2:$B$27,'chia CN boc xe'!$C132)</f>
        <v>0</v>
      </c>
      <c r="J132" s="419">
        <f>SUMIFS('boc xe'!AA$2:AA$27,'boc xe'!$B$2:$B$27,'chia CN boc xe'!$C132)</f>
        <v>0</v>
      </c>
      <c r="K132" s="419">
        <f>SUMIFS('boc xe'!AB$2:AB$27,'boc xe'!$B$2:$B$27,'chia CN boc xe'!$C132)</f>
        <v>0</v>
      </c>
      <c r="L132" s="419">
        <f>SUMIFS('boc xe'!AC$2:AC$27,'boc xe'!$B$2:$B$27,'chia CN boc xe'!$C132)</f>
        <v>0</v>
      </c>
      <c r="M132" s="419">
        <f>SUMIFS('boc xe'!AD$2:AD$27,'boc xe'!$B$2:$B$27,'chia CN boc xe'!$C132)</f>
        <v>0</v>
      </c>
      <c r="N132" s="419">
        <f>SUMIFS('boc xe'!AE$2:AE$27,'boc xe'!$B$2:$B$27,'chia CN boc xe'!$C132)</f>
        <v>0</v>
      </c>
      <c r="O132" s="419">
        <f>SUMIFS('boc xe'!AF$2:AF$27,'boc xe'!$B$2:$B$27,'chia CN boc xe'!$C132)</f>
        <v>0</v>
      </c>
      <c r="P132" s="419">
        <f>SUMIFS('boc xe'!AG$2:AG$27,'boc xe'!$B$2:$B$27,'chia CN boc xe'!$C132)</f>
        <v>0</v>
      </c>
      <c r="Q132" s="419">
        <f>SUMIFS('boc xe'!AH$2:AH$27,'boc xe'!$B$2:$B$27,'chia CN boc xe'!$C132)</f>
        <v>0</v>
      </c>
      <c r="R132" s="419">
        <f>SUMIFS('boc xe'!AI$2:AI$27,'boc xe'!$B$2:$B$27,'chia CN boc xe'!$C132)</f>
        <v>0</v>
      </c>
      <c r="S132" s="419">
        <f>SUMIFS('boc xe'!AJ$2:AJ$27,'boc xe'!$B$2:$B$27,'chia CN boc xe'!$C132)</f>
        <v>0</v>
      </c>
    </row>
    <row r="133" spans="1:19" x14ac:dyDescent="0.25">
      <c r="A133" s="421">
        <f t="shared" si="50"/>
        <v>132</v>
      </c>
      <c r="B133" s="552"/>
      <c r="C133" s="421"/>
      <c r="D133" s="419">
        <f>SUMIFS('boc xe'!U$2:U$27,'boc xe'!$B$2:$B$27,'chia CN boc xe'!$C133)</f>
        <v>0</v>
      </c>
      <c r="E133" s="419">
        <f>SUMIFS('boc xe'!V$2:V$27,'boc xe'!$B$2:$B$27,'chia CN boc xe'!$C133)</f>
        <v>0</v>
      </c>
      <c r="F133" s="419">
        <f>SUMIFS('boc xe'!W$2:W$27,'boc xe'!$B$2:$B$27,'chia CN boc xe'!$C133)</f>
        <v>0</v>
      </c>
      <c r="G133" s="419">
        <f>SUMIFS('boc xe'!X$2:X$27,'boc xe'!$B$2:$B$27,'chia CN boc xe'!$C133)</f>
        <v>0</v>
      </c>
      <c r="H133" s="419">
        <f>SUMIFS('boc xe'!Y$2:Y$27,'boc xe'!$B$2:$B$27,'chia CN boc xe'!$C133)</f>
        <v>0</v>
      </c>
      <c r="I133" s="419">
        <f>SUMIFS('boc xe'!Z$2:Z$27,'boc xe'!$B$2:$B$27,'chia CN boc xe'!$C133)</f>
        <v>0</v>
      </c>
      <c r="J133" s="419">
        <f>SUMIFS('boc xe'!AA$2:AA$27,'boc xe'!$B$2:$B$27,'chia CN boc xe'!$C133)</f>
        <v>0</v>
      </c>
      <c r="K133" s="419">
        <f>SUMIFS('boc xe'!AB$2:AB$27,'boc xe'!$B$2:$B$27,'chia CN boc xe'!$C133)</f>
        <v>0</v>
      </c>
      <c r="L133" s="419">
        <f>SUMIFS('boc xe'!AC$2:AC$27,'boc xe'!$B$2:$B$27,'chia CN boc xe'!$C133)</f>
        <v>0</v>
      </c>
      <c r="M133" s="419">
        <f>SUMIFS('boc xe'!AD$2:AD$27,'boc xe'!$B$2:$B$27,'chia CN boc xe'!$C133)</f>
        <v>0</v>
      </c>
      <c r="N133" s="419">
        <f>SUMIFS('boc xe'!AE$2:AE$27,'boc xe'!$B$2:$B$27,'chia CN boc xe'!$C133)</f>
        <v>0</v>
      </c>
      <c r="O133" s="419">
        <f>SUMIFS('boc xe'!AF$2:AF$27,'boc xe'!$B$2:$B$27,'chia CN boc xe'!$C133)</f>
        <v>0</v>
      </c>
      <c r="P133" s="419">
        <f>SUMIFS('boc xe'!AG$2:AG$27,'boc xe'!$B$2:$B$27,'chia CN boc xe'!$C133)</f>
        <v>0</v>
      </c>
      <c r="Q133" s="419">
        <f>SUMIFS('boc xe'!AH$2:AH$27,'boc xe'!$B$2:$B$27,'chia CN boc xe'!$C133)</f>
        <v>0</v>
      </c>
      <c r="R133" s="419">
        <f>SUMIFS('boc xe'!AI$2:AI$27,'boc xe'!$B$2:$B$27,'chia CN boc xe'!$C133)</f>
        <v>0</v>
      </c>
      <c r="S133" s="419">
        <f>SUMIFS('boc xe'!AJ$2:AJ$27,'boc xe'!$B$2:$B$27,'chia CN boc xe'!$C133)</f>
        <v>0</v>
      </c>
    </row>
    <row r="134" spans="1:19" x14ac:dyDescent="0.25">
      <c r="A134" s="421">
        <f t="shared" si="50"/>
        <v>133</v>
      </c>
      <c r="B134" s="552"/>
      <c r="C134" s="421"/>
      <c r="D134" s="419">
        <f>SUMIFS('boc xe'!U$2:U$27,'boc xe'!$B$2:$B$27,'chia CN boc xe'!$C134)</f>
        <v>0</v>
      </c>
      <c r="E134" s="419">
        <f>SUMIFS('boc xe'!V$2:V$27,'boc xe'!$B$2:$B$27,'chia CN boc xe'!$C134)</f>
        <v>0</v>
      </c>
      <c r="F134" s="419">
        <f>SUMIFS('boc xe'!W$2:W$27,'boc xe'!$B$2:$B$27,'chia CN boc xe'!$C134)</f>
        <v>0</v>
      </c>
      <c r="G134" s="419">
        <f>SUMIFS('boc xe'!X$2:X$27,'boc xe'!$B$2:$B$27,'chia CN boc xe'!$C134)</f>
        <v>0</v>
      </c>
      <c r="H134" s="419">
        <f>SUMIFS('boc xe'!Y$2:Y$27,'boc xe'!$B$2:$B$27,'chia CN boc xe'!$C134)</f>
        <v>0</v>
      </c>
      <c r="I134" s="419">
        <f>SUMIFS('boc xe'!Z$2:Z$27,'boc xe'!$B$2:$B$27,'chia CN boc xe'!$C134)</f>
        <v>0</v>
      </c>
      <c r="J134" s="419">
        <f>SUMIFS('boc xe'!AA$2:AA$27,'boc xe'!$B$2:$B$27,'chia CN boc xe'!$C134)</f>
        <v>0</v>
      </c>
      <c r="K134" s="419">
        <f>SUMIFS('boc xe'!AB$2:AB$27,'boc xe'!$B$2:$B$27,'chia CN boc xe'!$C134)</f>
        <v>0</v>
      </c>
      <c r="L134" s="419">
        <f>SUMIFS('boc xe'!AC$2:AC$27,'boc xe'!$B$2:$B$27,'chia CN boc xe'!$C134)</f>
        <v>0</v>
      </c>
      <c r="M134" s="419">
        <f>SUMIFS('boc xe'!AD$2:AD$27,'boc xe'!$B$2:$B$27,'chia CN boc xe'!$C134)</f>
        <v>0</v>
      </c>
      <c r="N134" s="419">
        <f>SUMIFS('boc xe'!AE$2:AE$27,'boc xe'!$B$2:$B$27,'chia CN boc xe'!$C134)</f>
        <v>0</v>
      </c>
      <c r="O134" s="419">
        <f>SUMIFS('boc xe'!AF$2:AF$27,'boc xe'!$B$2:$B$27,'chia CN boc xe'!$C134)</f>
        <v>0</v>
      </c>
      <c r="P134" s="419">
        <f>SUMIFS('boc xe'!AG$2:AG$27,'boc xe'!$B$2:$B$27,'chia CN boc xe'!$C134)</f>
        <v>0</v>
      </c>
      <c r="Q134" s="419">
        <f>SUMIFS('boc xe'!AH$2:AH$27,'boc xe'!$B$2:$B$27,'chia CN boc xe'!$C134)</f>
        <v>0</v>
      </c>
      <c r="R134" s="419">
        <f>SUMIFS('boc xe'!AI$2:AI$27,'boc xe'!$B$2:$B$27,'chia CN boc xe'!$C134)</f>
        <v>0</v>
      </c>
      <c r="S134" s="419">
        <f>SUMIFS('boc xe'!AJ$2:AJ$27,'boc xe'!$B$2:$B$27,'chia CN boc xe'!$C134)</f>
        <v>0</v>
      </c>
    </row>
    <row r="135" spans="1:19" x14ac:dyDescent="0.25">
      <c r="A135" s="421">
        <f t="shared" si="50"/>
        <v>134</v>
      </c>
      <c r="B135" s="552"/>
      <c r="C135" s="421"/>
      <c r="D135" s="419">
        <f>SUMIFS('boc xe'!U$2:U$27,'boc xe'!$B$2:$B$27,'chia CN boc xe'!$C135)</f>
        <v>0</v>
      </c>
      <c r="E135" s="419">
        <f>SUMIFS('boc xe'!V$2:V$27,'boc xe'!$B$2:$B$27,'chia CN boc xe'!$C135)</f>
        <v>0</v>
      </c>
      <c r="F135" s="419">
        <f>SUMIFS('boc xe'!W$2:W$27,'boc xe'!$B$2:$B$27,'chia CN boc xe'!$C135)</f>
        <v>0</v>
      </c>
      <c r="G135" s="419">
        <f>SUMIFS('boc xe'!X$2:X$27,'boc xe'!$B$2:$B$27,'chia CN boc xe'!$C135)</f>
        <v>0</v>
      </c>
      <c r="H135" s="419">
        <f>SUMIFS('boc xe'!Y$2:Y$27,'boc xe'!$B$2:$B$27,'chia CN boc xe'!$C135)</f>
        <v>0</v>
      </c>
      <c r="I135" s="419">
        <f>SUMIFS('boc xe'!Z$2:Z$27,'boc xe'!$B$2:$B$27,'chia CN boc xe'!$C135)</f>
        <v>0</v>
      </c>
      <c r="J135" s="419">
        <f>SUMIFS('boc xe'!AA$2:AA$27,'boc xe'!$B$2:$B$27,'chia CN boc xe'!$C135)</f>
        <v>0</v>
      </c>
      <c r="K135" s="419">
        <f>SUMIFS('boc xe'!AB$2:AB$27,'boc xe'!$B$2:$B$27,'chia CN boc xe'!$C135)</f>
        <v>0</v>
      </c>
      <c r="L135" s="419">
        <f>SUMIFS('boc xe'!AC$2:AC$27,'boc xe'!$B$2:$B$27,'chia CN boc xe'!$C135)</f>
        <v>0</v>
      </c>
      <c r="M135" s="419">
        <f>SUMIFS('boc xe'!AD$2:AD$27,'boc xe'!$B$2:$B$27,'chia CN boc xe'!$C135)</f>
        <v>0</v>
      </c>
      <c r="N135" s="419">
        <f>SUMIFS('boc xe'!AE$2:AE$27,'boc xe'!$B$2:$B$27,'chia CN boc xe'!$C135)</f>
        <v>0</v>
      </c>
      <c r="O135" s="419">
        <f>SUMIFS('boc xe'!AF$2:AF$27,'boc xe'!$B$2:$B$27,'chia CN boc xe'!$C135)</f>
        <v>0</v>
      </c>
      <c r="P135" s="419">
        <f>SUMIFS('boc xe'!AG$2:AG$27,'boc xe'!$B$2:$B$27,'chia CN boc xe'!$C135)</f>
        <v>0</v>
      </c>
      <c r="Q135" s="419">
        <f>SUMIFS('boc xe'!AH$2:AH$27,'boc xe'!$B$2:$B$27,'chia CN boc xe'!$C135)</f>
        <v>0</v>
      </c>
      <c r="R135" s="419">
        <f>SUMIFS('boc xe'!AI$2:AI$27,'boc xe'!$B$2:$B$27,'chia CN boc xe'!$C135)</f>
        <v>0</v>
      </c>
      <c r="S135" s="419">
        <f>SUMIFS('boc xe'!AJ$2:AJ$27,'boc xe'!$B$2:$B$27,'chia CN boc xe'!$C135)</f>
        <v>0</v>
      </c>
    </row>
    <row r="136" spans="1:19" x14ac:dyDescent="0.25">
      <c r="A136" s="421">
        <f t="shared" si="50"/>
        <v>135</v>
      </c>
      <c r="B136" s="552"/>
      <c r="C136" s="421"/>
      <c r="D136" s="419">
        <f>SUMIFS('boc xe'!U$2:U$27,'boc xe'!$B$2:$B$27,'chia CN boc xe'!$C136)</f>
        <v>0</v>
      </c>
      <c r="E136" s="419">
        <f>SUMIFS('boc xe'!V$2:V$27,'boc xe'!$B$2:$B$27,'chia CN boc xe'!$C136)</f>
        <v>0</v>
      </c>
      <c r="F136" s="419">
        <f>SUMIFS('boc xe'!W$2:W$27,'boc xe'!$B$2:$B$27,'chia CN boc xe'!$C136)</f>
        <v>0</v>
      </c>
      <c r="G136" s="419">
        <f>SUMIFS('boc xe'!X$2:X$27,'boc xe'!$B$2:$B$27,'chia CN boc xe'!$C136)</f>
        <v>0</v>
      </c>
      <c r="H136" s="419">
        <f>SUMIFS('boc xe'!Y$2:Y$27,'boc xe'!$B$2:$B$27,'chia CN boc xe'!$C136)</f>
        <v>0</v>
      </c>
      <c r="I136" s="419">
        <f>SUMIFS('boc xe'!Z$2:Z$27,'boc xe'!$B$2:$B$27,'chia CN boc xe'!$C136)</f>
        <v>0</v>
      </c>
      <c r="J136" s="419">
        <f>SUMIFS('boc xe'!AA$2:AA$27,'boc xe'!$B$2:$B$27,'chia CN boc xe'!$C136)</f>
        <v>0</v>
      </c>
      <c r="K136" s="419">
        <f>SUMIFS('boc xe'!AB$2:AB$27,'boc xe'!$B$2:$B$27,'chia CN boc xe'!$C136)</f>
        <v>0</v>
      </c>
      <c r="L136" s="419">
        <f>SUMIFS('boc xe'!AC$2:AC$27,'boc xe'!$B$2:$B$27,'chia CN boc xe'!$C136)</f>
        <v>0</v>
      </c>
      <c r="M136" s="419">
        <f>SUMIFS('boc xe'!AD$2:AD$27,'boc xe'!$B$2:$B$27,'chia CN boc xe'!$C136)</f>
        <v>0</v>
      </c>
      <c r="N136" s="419">
        <f>SUMIFS('boc xe'!AE$2:AE$27,'boc xe'!$B$2:$B$27,'chia CN boc xe'!$C136)</f>
        <v>0</v>
      </c>
      <c r="O136" s="419">
        <f>SUMIFS('boc xe'!AF$2:AF$27,'boc xe'!$B$2:$B$27,'chia CN boc xe'!$C136)</f>
        <v>0</v>
      </c>
      <c r="P136" s="419">
        <f>SUMIFS('boc xe'!AG$2:AG$27,'boc xe'!$B$2:$B$27,'chia CN boc xe'!$C136)</f>
        <v>0</v>
      </c>
      <c r="Q136" s="419">
        <f>SUMIFS('boc xe'!AH$2:AH$27,'boc xe'!$B$2:$B$27,'chia CN boc xe'!$C136)</f>
        <v>0</v>
      </c>
      <c r="R136" s="419">
        <f>SUMIFS('boc xe'!AI$2:AI$27,'boc xe'!$B$2:$B$27,'chia CN boc xe'!$C136)</f>
        <v>0</v>
      </c>
      <c r="S136" s="419">
        <f>SUMIFS('boc xe'!AJ$2:AJ$27,'boc xe'!$B$2:$B$27,'chia CN boc xe'!$C136)</f>
        <v>0</v>
      </c>
    </row>
    <row r="137" spans="1:19" x14ac:dyDescent="0.25">
      <c r="A137" s="421">
        <f t="shared" si="50"/>
        <v>136</v>
      </c>
      <c r="B137" s="552"/>
      <c r="C137" s="421"/>
      <c r="D137" s="419">
        <f>SUMIFS('boc xe'!U$2:U$27,'boc xe'!$B$2:$B$27,'chia CN boc xe'!$C137)</f>
        <v>0</v>
      </c>
      <c r="E137" s="419">
        <f>SUMIFS('boc xe'!V$2:V$27,'boc xe'!$B$2:$B$27,'chia CN boc xe'!$C137)</f>
        <v>0</v>
      </c>
      <c r="F137" s="419">
        <f>SUMIFS('boc xe'!W$2:W$27,'boc xe'!$B$2:$B$27,'chia CN boc xe'!$C137)</f>
        <v>0</v>
      </c>
      <c r="G137" s="419">
        <f>SUMIFS('boc xe'!X$2:X$27,'boc xe'!$B$2:$B$27,'chia CN boc xe'!$C137)</f>
        <v>0</v>
      </c>
      <c r="H137" s="419">
        <f>SUMIFS('boc xe'!Y$2:Y$27,'boc xe'!$B$2:$B$27,'chia CN boc xe'!$C137)</f>
        <v>0</v>
      </c>
      <c r="I137" s="419">
        <f>SUMIFS('boc xe'!Z$2:Z$27,'boc xe'!$B$2:$B$27,'chia CN boc xe'!$C137)</f>
        <v>0</v>
      </c>
      <c r="J137" s="419">
        <f>SUMIFS('boc xe'!AA$2:AA$27,'boc xe'!$B$2:$B$27,'chia CN boc xe'!$C137)</f>
        <v>0</v>
      </c>
      <c r="K137" s="419">
        <f>SUMIFS('boc xe'!AB$2:AB$27,'boc xe'!$B$2:$B$27,'chia CN boc xe'!$C137)</f>
        <v>0</v>
      </c>
      <c r="L137" s="419">
        <f>SUMIFS('boc xe'!AC$2:AC$27,'boc xe'!$B$2:$B$27,'chia CN boc xe'!$C137)</f>
        <v>0</v>
      </c>
      <c r="M137" s="419">
        <f>SUMIFS('boc xe'!AD$2:AD$27,'boc xe'!$B$2:$B$27,'chia CN boc xe'!$C137)</f>
        <v>0</v>
      </c>
      <c r="N137" s="419">
        <f>SUMIFS('boc xe'!AE$2:AE$27,'boc xe'!$B$2:$B$27,'chia CN boc xe'!$C137)</f>
        <v>0</v>
      </c>
      <c r="O137" s="419">
        <f>SUMIFS('boc xe'!AF$2:AF$27,'boc xe'!$B$2:$B$27,'chia CN boc xe'!$C137)</f>
        <v>0</v>
      </c>
      <c r="P137" s="419">
        <f>SUMIFS('boc xe'!AG$2:AG$27,'boc xe'!$B$2:$B$27,'chia CN boc xe'!$C137)</f>
        <v>0</v>
      </c>
      <c r="Q137" s="419">
        <f>SUMIFS('boc xe'!AH$2:AH$27,'boc xe'!$B$2:$B$27,'chia CN boc xe'!$C137)</f>
        <v>0</v>
      </c>
      <c r="R137" s="419">
        <f>SUMIFS('boc xe'!AI$2:AI$27,'boc xe'!$B$2:$B$27,'chia CN boc xe'!$C137)</f>
        <v>0</v>
      </c>
      <c r="S137" s="419">
        <f>SUMIFS('boc xe'!AJ$2:AJ$27,'boc xe'!$B$2:$B$27,'chia CN boc xe'!$C137)</f>
        <v>0</v>
      </c>
    </row>
    <row r="138" spans="1:19" x14ac:dyDescent="0.25">
      <c r="A138" s="421">
        <f t="shared" si="50"/>
        <v>137</v>
      </c>
      <c r="B138" s="552"/>
      <c r="C138" s="421"/>
      <c r="D138" s="419">
        <f>SUMIFS('boc xe'!U$2:U$27,'boc xe'!$B$2:$B$27,'chia CN boc xe'!$C138)</f>
        <v>0</v>
      </c>
      <c r="E138" s="419">
        <f>SUMIFS('boc xe'!V$2:V$27,'boc xe'!$B$2:$B$27,'chia CN boc xe'!$C138)</f>
        <v>0</v>
      </c>
      <c r="F138" s="419">
        <f>SUMIFS('boc xe'!W$2:W$27,'boc xe'!$B$2:$B$27,'chia CN boc xe'!$C138)</f>
        <v>0</v>
      </c>
      <c r="G138" s="419">
        <f>SUMIFS('boc xe'!X$2:X$27,'boc xe'!$B$2:$B$27,'chia CN boc xe'!$C138)</f>
        <v>0</v>
      </c>
      <c r="H138" s="419">
        <f>SUMIFS('boc xe'!Y$2:Y$27,'boc xe'!$B$2:$B$27,'chia CN boc xe'!$C138)</f>
        <v>0</v>
      </c>
      <c r="I138" s="419">
        <f>SUMIFS('boc xe'!Z$2:Z$27,'boc xe'!$B$2:$B$27,'chia CN boc xe'!$C138)</f>
        <v>0</v>
      </c>
      <c r="J138" s="419">
        <f>SUMIFS('boc xe'!AA$2:AA$27,'boc xe'!$B$2:$B$27,'chia CN boc xe'!$C138)</f>
        <v>0</v>
      </c>
      <c r="K138" s="419">
        <f>SUMIFS('boc xe'!AB$2:AB$27,'boc xe'!$B$2:$B$27,'chia CN boc xe'!$C138)</f>
        <v>0</v>
      </c>
      <c r="L138" s="419">
        <f>SUMIFS('boc xe'!AC$2:AC$27,'boc xe'!$B$2:$B$27,'chia CN boc xe'!$C138)</f>
        <v>0</v>
      </c>
      <c r="M138" s="419">
        <f>SUMIFS('boc xe'!AD$2:AD$27,'boc xe'!$B$2:$B$27,'chia CN boc xe'!$C138)</f>
        <v>0</v>
      </c>
      <c r="N138" s="419">
        <f>SUMIFS('boc xe'!AE$2:AE$27,'boc xe'!$B$2:$B$27,'chia CN boc xe'!$C138)</f>
        <v>0</v>
      </c>
      <c r="O138" s="419">
        <f>SUMIFS('boc xe'!AF$2:AF$27,'boc xe'!$B$2:$B$27,'chia CN boc xe'!$C138)</f>
        <v>0</v>
      </c>
      <c r="P138" s="419">
        <f>SUMIFS('boc xe'!AG$2:AG$27,'boc xe'!$B$2:$B$27,'chia CN boc xe'!$C138)</f>
        <v>0</v>
      </c>
      <c r="Q138" s="419">
        <f>SUMIFS('boc xe'!AH$2:AH$27,'boc xe'!$B$2:$B$27,'chia CN boc xe'!$C138)</f>
        <v>0</v>
      </c>
      <c r="R138" s="419">
        <f>SUMIFS('boc xe'!AI$2:AI$27,'boc xe'!$B$2:$B$27,'chia CN boc xe'!$C138)</f>
        <v>0</v>
      </c>
      <c r="S138" s="419">
        <f>SUMIFS('boc xe'!AJ$2:AJ$27,'boc xe'!$B$2:$B$27,'chia CN boc xe'!$C138)</f>
        <v>0</v>
      </c>
    </row>
  </sheetData>
  <autoFilter ref="A2:AJ131"/>
  <dataValidations count="2">
    <dataValidation type="list" allowBlank="1" showInputMessage="1" showErrorMessage="1" sqref="B110:B131 B84:B108">
      <formula1>$C$6:$C$80</formula1>
    </dataValidation>
    <dataValidation type="list" allowBlank="1" showInputMessage="1" showErrorMessage="1" sqref="B1:B2">
      <formula1>$C$6:$C$74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'1'!$C$6:$C$15</xm:f>
          </x14:formula1>
          <xm:sqref>B132:B1048576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AM19"/>
  <sheetViews>
    <sheetView workbookViewId="0">
      <pane xSplit="3" ySplit="1" topLeftCell="D2" activePane="bottomRight" state="frozen"/>
      <selection activeCell="R40" sqref="R40"/>
      <selection pane="topRight" activeCell="R40" sqref="R40"/>
      <selection pane="bottomLeft" activeCell="R40" sqref="R40"/>
      <selection pane="bottomRight" activeCell="T9" sqref="T9"/>
    </sheetView>
  </sheetViews>
  <sheetFormatPr defaultRowHeight="15" x14ac:dyDescent="0.25"/>
  <cols>
    <col min="1" max="1" width="4.42578125" customWidth="1"/>
    <col min="2" max="2" width="5.140625" customWidth="1"/>
    <col min="3" max="3" width="12.28515625" hidden="1" customWidth="1"/>
    <col min="4" max="4" width="4.85546875" customWidth="1"/>
    <col min="5" max="6" width="5" bestFit="1" customWidth="1"/>
    <col min="7" max="7" width="5.5703125" customWidth="1"/>
    <col min="8" max="8" width="4.42578125" customWidth="1"/>
    <col min="9" max="9" width="4.5703125" customWidth="1"/>
    <col min="10" max="10" width="5" customWidth="1"/>
    <col min="11" max="11" width="4.42578125" customWidth="1"/>
    <col min="12" max="12" width="5" bestFit="1" customWidth="1"/>
    <col min="13" max="15" width="4.42578125" customWidth="1"/>
    <col min="16" max="16" width="4.140625" customWidth="1"/>
    <col min="17" max="18" width="4.42578125" customWidth="1"/>
    <col min="19" max="19" width="4.85546875" customWidth="1"/>
    <col min="20" max="20" width="5.85546875" customWidth="1"/>
    <col min="21" max="35" width="5.7109375" customWidth="1"/>
    <col min="36" max="36" width="11" customWidth="1"/>
    <col min="37" max="37" width="3.7109375" customWidth="1"/>
  </cols>
  <sheetData>
    <row r="1" spans="1:37" s="58" customFormat="1" ht="87" customHeight="1" x14ac:dyDescent="0.2">
      <c r="A1" s="62" t="s">
        <v>309</v>
      </c>
      <c r="B1" s="62" t="s">
        <v>307</v>
      </c>
      <c r="C1" s="62"/>
      <c r="D1" s="59" t="s">
        <v>262</v>
      </c>
      <c r="E1" s="59" t="s">
        <v>263</v>
      </c>
      <c r="F1" s="59" t="s">
        <v>264</v>
      </c>
      <c r="G1" s="59" t="s">
        <v>265</v>
      </c>
      <c r="H1" s="59" t="s">
        <v>266</v>
      </c>
      <c r="I1" s="59" t="s">
        <v>267</v>
      </c>
      <c r="J1" s="59" t="s">
        <v>268</v>
      </c>
      <c r="K1" s="59" t="s">
        <v>296</v>
      </c>
      <c r="L1" s="59" t="s">
        <v>297</v>
      </c>
      <c r="M1" s="59" t="s">
        <v>298</v>
      </c>
      <c r="N1" s="59" t="s">
        <v>299</v>
      </c>
      <c r="O1" s="59" t="s">
        <v>269</v>
      </c>
      <c r="P1" s="59" t="s">
        <v>282</v>
      </c>
      <c r="Q1" s="59" t="s">
        <v>281</v>
      </c>
      <c r="R1" s="59" t="s">
        <v>280</v>
      </c>
      <c r="S1" s="59" t="s">
        <v>314</v>
      </c>
      <c r="T1" s="57" t="s">
        <v>306</v>
      </c>
      <c r="U1" s="59" t="s">
        <v>262</v>
      </c>
      <c r="V1" s="59" t="s">
        <v>263</v>
      </c>
      <c r="W1" s="59" t="s">
        <v>264</v>
      </c>
      <c r="X1" s="59" t="s">
        <v>265</v>
      </c>
      <c r="Y1" s="59" t="s">
        <v>266</v>
      </c>
      <c r="Z1" s="59" t="s">
        <v>267</v>
      </c>
      <c r="AA1" s="59" t="s">
        <v>268</v>
      </c>
      <c r="AB1" s="59" t="s">
        <v>296</v>
      </c>
      <c r="AC1" s="59" t="s">
        <v>297</v>
      </c>
      <c r="AD1" s="59" t="s">
        <v>298</v>
      </c>
      <c r="AE1" s="59" t="s">
        <v>299</v>
      </c>
      <c r="AF1" s="59" t="s">
        <v>269</v>
      </c>
      <c r="AG1" s="59" t="s">
        <v>282</v>
      </c>
      <c r="AH1" s="59" t="s">
        <v>281</v>
      </c>
      <c r="AI1" s="59" t="s">
        <v>280</v>
      </c>
      <c r="AJ1" s="59" t="s">
        <v>314</v>
      </c>
      <c r="AK1" s="60"/>
    </row>
    <row r="2" spans="1:37" x14ac:dyDescent="0.25">
      <c r="A2" s="35">
        <v>1</v>
      </c>
      <c r="B2" s="35">
        <v>1</v>
      </c>
      <c r="C2" s="35"/>
      <c r="D2" s="3"/>
      <c r="E2" s="3"/>
      <c r="F2" s="3"/>
      <c r="G2" s="3"/>
      <c r="H2" s="3"/>
      <c r="I2" s="418">
        <v>320</v>
      </c>
      <c r="J2" s="3"/>
      <c r="K2" s="3"/>
      <c r="L2" s="3"/>
      <c r="M2" s="3"/>
      <c r="N2" s="3"/>
      <c r="O2" s="3"/>
      <c r="P2" s="3"/>
      <c r="Q2" s="3"/>
      <c r="R2" s="3"/>
      <c r="S2" s="3"/>
      <c r="T2" s="56">
        <v>6</v>
      </c>
      <c r="U2" s="22">
        <f t="shared" ref="U2:U19" si="0">D2/$T2</f>
        <v>0</v>
      </c>
      <c r="V2" s="22">
        <f t="shared" ref="V2:AJ17" si="1">E2/$T2</f>
        <v>0</v>
      </c>
      <c r="W2" s="22">
        <f t="shared" si="1"/>
        <v>0</v>
      </c>
      <c r="X2" s="22">
        <f>(G2/3*4)/$T2</f>
        <v>0</v>
      </c>
      <c r="Y2" s="22">
        <f t="shared" si="1"/>
        <v>0</v>
      </c>
      <c r="Z2" s="22">
        <f>(I2/5*6)/$T2</f>
        <v>64</v>
      </c>
      <c r="AA2" s="22">
        <f t="shared" si="1"/>
        <v>0</v>
      </c>
      <c r="AB2" s="22">
        <f t="shared" si="1"/>
        <v>0</v>
      </c>
      <c r="AC2" s="22">
        <f t="shared" si="1"/>
        <v>0</v>
      </c>
      <c r="AD2" s="22">
        <f t="shared" si="1"/>
        <v>0</v>
      </c>
      <c r="AE2" s="22">
        <f t="shared" si="1"/>
        <v>0</v>
      </c>
      <c r="AF2" s="22">
        <f t="shared" si="1"/>
        <v>0</v>
      </c>
      <c r="AG2" s="22">
        <f t="shared" si="1"/>
        <v>0</v>
      </c>
      <c r="AH2" s="22">
        <f t="shared" si="1"/>
        <v>0</v>
      </c>
      <c r="AI2" s="22">
        <f t="shared" si="1"/>
        <v>0</v>
      </c>
      <c r="AJ2" s="22">
        <f t="shared" si="1"/>
        <v>0</v>
      </c>
      <c r="AK2" s="61"/>
    </row>
    <row r="3" spans="1:37" x14ac:dyDescent="0.25">
      <c r="A3" s="35">
        <v>2</v>
      </c>
      <c r="B3" s="35">
        <v>2</v>
      </c>
      <c r="C3" s="35"/>
      <c r="D3" s="3"/>
      <c r="E3" s="3"/>
      <c r="F3" s="3"/>
      <c r="G3" s="3"/>
      <c r="H3" s="418"/>
      <c r="I3" s="418">
        <v>1200</v>
      </c>
      <c r="J3" s="3"/>
      <c r="K3" s="3"/>
      <c r="L3" s="418"/>
      <c r="M3" s="3"/>
      <c r="N3" s="418"/>
      <c r="O3" s="418"/>
      <c r="P3" s="418"/>
      <c r="Q3" s="418"/>
      <c r="R3" s="3"/>
      <c r="S3" s="3"/>
      <c r="T3" s="56">
        <v>6</v>
      </c>
      <c r="U3" s="22">
        <f t="shared" si="0"/>
        <v>0</v>
      </c>
      <c r="V3" s="22">
        <f t="shared" si="1"/>
        <v>0</v>
      </c>
      <c r="W3" s="22">
        <f t="shared" si="1"/>
        <v>0</v>
      </c>
      <c r="X3" s="419">
        <f t="shared" ref="X3:X19" si="2">(G3/3*4)/$T3</f>
        <v>0</v>
      </c>
      <c r="Y3" s="22">
        <f t="shared" si="1"/>
        <v>0</v>
      </c>
      <c r="Z3" s="419">
        <f t="shared" ref="Z3:Z19" si="3">(I3/5*6)/$T3</f>
        <v>240</v>
      </c>
      <c r="AA3" s="22">
        <f t="shared" si="1"/>
        <v>0</v>
      </c>
      <c r="AB3" s="22">
        <f t="shared" si="1"/>
        <v>0</v>
      </c>
      <c r="AC3" s="22">
        <f t="shared" si="1"/>
        <v>0</v>
      </c>
      <c r="AD3" s="22">
        <f t="shared" si="1"/>
        <v>0</v>
      </c>
      <c r="AE3" s="22">
        <f t="shared" si="1"/>
        <v>0</v>
      </c>
      <c r="AF3" s="22">
        <f t="shared" si="1"/>
        <v>0</v>
      </c>
      <c r="AG3" s="22">
        <f t="shared" si="1"/>
        <v>0</v>
      </c>
      <c r="AH3" s="22">
        <f t="shared" si="1"/>
        <v>0</v>
      </c>
      <c r="AI3" s="22">
        <f t="shared" si="1"/>
        <v>0</v>
      </c>
      <c r="AJ3" s="22">
        <f t="shared" si="1"/>
        <v>0</v>
      </c>
      <c r="AK3" s="61"/>
    </row>
    <row r="4" spans="1:37" s="64" customFormat="1" x14ac:dyDescent="0.25">
      <c r="A4" s="63">
        <v>3</v>
      </c>
      <c r="B4" s="35">
        <v>3</v>
      </c>
      <c r="C4" s="63"/>
      <c r="D4" s="3"/>
      <c r="E4" s="3"/>
      <c r="F4" s="3"/>
      <c r="G4" s="3"/>
      <c r="H4" s="418"/>
      <c r="I4" s="418">
        <v>1200</v>
      </c>
      <c r="J4" s="3"/>
      <c r="K4" s="3"/>
      <c r="L4" s="418"/>
      <c r="M4" s="3"/>
      <c r="N4" s="418"/>
      <c r="O4" s="418"/>
      <c r="P4" s="418"/>
      <c r="Q4" s="418"/>
      <c r="R4" s="3"/>
      <c r="S4" s="3"/>
      <c r="T4" s="56">
        <v>6</v>
      </c>
      <c r="U4" s="22">
        <f t="shared" si="0"/>
        <v>0</v>
      </c>
      <c r="V4" s="22">
        <f t="shared" si="1"/>
        <v>0</v>
      </c>
      <c r="W4" s="22">
        <f t="shared" si="1"/>
        <v>0</v>
      </c>
      <c r="X4" s="419">
        <f>(G4/3*4)/$T4</f>
        <v>0</v>
      </c>
      <c r="Y4" s="22">
        <f>H4/$T4</f>
        <v>0</v>
      </c>
      <c r="Z4" s="419">
        <f t="shared" si="3"/>
        <v>240</v>
      </c>
      <c r="AA4" s="22">
        <f t="shared" si="1"/>
        <v>0</v>
      </c>
      <c r="AB4" s="22">
        <f t="shared" si="1"/>
        <v>0</v>
      </c>
      <c r="AC4" s="22">
        <f t="shared" si="1"/>
        <v>0</v>
      </c>
      <c r="AD4" s="22">
        <f t="shared" si="1"/>
        <v>0</v>
      </c>
      <c r="AE4" s="22">
        <f t="shared" si="1"/>
        <v>0</v>
      </c>
      <c r="AF4" s="22">
        <f t="shared" si="1"/>
        <v>0</v>
      </c>
      <c r="AG4" s="22">
        <f t="shared" si="1"/>
        <v>0</v>
      </c>
      <c r="AH4" s="22">
        <f t="shared" si="1"/>
        <v>0</v>
      </c>
      <c r="AI4" s="22">
        <f t="shared" si="1"/>
        <v>0</v>
      </c>
      <c r="AJ4" s="22">
        <f t="shared" si="1"/>
        <v>0</v>
      </c>
      <c r="AK4" s="61"/>
    </row>
    <row r="5" spans="1:37" x14ac:dyDescent="0.25">
      <c r="A5" s="35">
        <v>4</v>
      </c>
      <c r="B5" s="35">
        <v>4</v>
      </c>
      <c r="C5" s="35"/>
      <c r="D5" s="3">
        <f>30*40</f>
        <v>1200</v>
      </c>
      <c r="E5" s="3"/>
      <c r="F5" s="3"/>
      <c r="G5" s="3"/>
      <c r="H5" s="3"/>
      <c r="I5" s="418"/>
      <c r="J5" s="3"/>
      <c r="K5" s="3"/>
      <c r="L5" s="418"/>
      <c r="M5" s="3"/>
      <c r="N5" s="418"/>
      <c r="O5" s="418"/>
      <c r="P5" s="418"/>
      <c r="Q5" s="418"/>
      <c r="R5" s="3"/>
      <c r="S5" s="3"/>
      <c r="T5" s="56">
        <v>2</v>
      </c>
      <c r="U5" s="22">
        <f t="shared" si="0"/>
        <v>600</v>
      </c>
      <c r="V5" s="22">
        <f t="shared" si="1"/>
        <v>0</v>
      </c>
      <c r="W5" s="22">
        <f t="shared" si="1"/>
        <v>0</v>
      </c>
      <c r="X5" s="419">
        <f t="shared" si="2"/>
        <v>0</v>
      </c>
      <c r="Y5" s="22">
        <f t="shared" si="1"/>
        <v>0</v>
      </c>
      <c r="Z5" s="419">
        <f t="shared" si="3"/>
        <v>0</v>
      </c>
      <c r="AA5" s="22">
        <f t="shared" si="1"/>
        <v>0</v>
      </c>
      <c r="AB5" s="22">
        <f t="shared" si="1"/>
        <v>0</v>
      </c>
      <c r="AC5" s="22">
        <f t="shared" si="1"/>
        <v>0</v>
      </c>
      <c r="AD5" s="22">
        <f t="shared" si="1"/>
        <v>0</v>
      </c>
      <c r="AE5" s="22">
        <f t="shared" si="1"/>
        <v>0</v>
      </c>
      <c r="AF5" s="22">
        <f t="shared" si="1"/>
        <v>0</v>
      </c>
      <c r="AG5" s="22">
        <f t="shared" si="1"/>
        <v>0</v>
      </c>
      <c r="AH5" s="22">
        <f t="shared" si="1"/>
        <v>0</v>
      </c>
      <c r="AI5" s="22">
        <f t="shared" si="1"/>
        <v>0</v>
      </c>
      <c r="AJ5" s="22">
        <f t="shared" si="1"/>
        <v>0</v>
      </c>
      <c r="AK5" s="61"/>
    </row>
    <row r="6" spans="1:37" x14ac:dyDescent="0.25">
      <c r="A6" s="35">
        <v>5</v>
      </c>
      <c r="B6" s="35">
        <v>5</v>
      </c>
      <c r="C6" s="35"/>
      <c r="D6" s="3"/>
      <c r="E6" s="3"/>
      <c r="F6" s="3"/>
      <c r="G6" s="3">
        <v>1000</v>
      </c>
      <c r="H6" s="3"/>
      <c r="I6" s="418"/>
      <c r="J6" s="3"/>
      <c r="K6" s="3"/>
      <c r="L6" s="418"/>
      <c r="M6" s="3"/>
      <c r="N6" s="418"/>
      <c r="O6" s="418"/>
      <c r="P6" s="418"/>
      <c r="Q6" s="418"/>
      <c r="R6" s="3"/>
      <c r="S6" s="3"/>
      <c r="T6" s="56">
        <v>4</v>
      </c>
      <c r="U6" s="22">
        <f t="shared" si="0"/>
        <v>0</v>
      </c>
      <c r="V6" s="22">
        <f t="shared" si="1"/>
        <v>0</v>
      </c>
      <c r="W6" s="22">
        <f t="shared" si="1"/>
        <v>0</v>
      </c>
      <c r="X6" s="419">
        <f t="shared" si="2"/>
        <v>333.33333333333331</v>
      </c>
      <c r="Y6" s="22">
        <f t="shared" si="1"/>
        <v>0</v>
      </c>
      <c r="Z6" s="419">
        <f t="shared" si="3"/>
        <v>0</v>
      </c>
      <c r="AA6" s="22">
        <f t="shared" si="1"/>
        <v>0</v>
      </c>
      <c r="AB6" s="22">
        <f t="shared" si="1"/>
        <v>0</v>
      </c>
      <c r="AC6" s="22">
        <f t="shared" si="1"/>
        <v>0</v>
      </c>
      <c r="AD6" s="22">
        <f t="shared" si="1"/>
        <v>0</v>
      </c>
      <c r="AE6" s="22">
        <f t="shared" si="1"/>
        <v>0</v>
      </c>
      <c r="AF6" s="22">
        <f t="shared" si="1"/>
        <v>0</v>
      </c>
      <c r="AG6" s="22">
        <f t="shared" si="1"/>
        <v>0</v>
      </c>
      <c r="AH6" s="22">
        <f t="shared" si="1"/>
        <v>0</v>
      </c>
      <c r="AI6" s="22">
        <f t="shared" si="1"/>
        <v>0</v>
      </c>
      <c r="AJ6" s="22">
        <f t="shared" si="1"/>
        <v>0</v>
      </c>
      <c r="AK6" s="61"/>
    </row>
    <row r="7" spans="1:37" x14ac:dyDescent="0.25">
      <c r="A7" s="35">
        <v>6</v>
      </c>
      <c r="B7" s="35">
        <v>6</v>
      </c>
      <c r="C7" s="35"/>
      <c r="D7" s="3"/>
      <c r="E7" s="3">
        <f>27*20</f>
        <v>540</v>
      </c>
      <c r="F7" s="3"/>
      <c r="G7" s="3"/>
      <c r="H7" s="3"/>
      <c r="I7" s="418"/>
      <c r="J7" s="3"/>
      <c r="K7" s="3"/>
      <c r="L7" s="418"/>
      <c r="M7" s="3"/>
      <c r="N7" s="418"/>
      <c r="O7" s="418"/>
      <c r="P7" s="418"/>
      <c r="Q7" s="418"/>
      <c r="R7" s="3"/>
      <c r="S7" s="3"/>
      <c r="T7" s="56">
        <v>2</v>
      </c>
      <c r="U7" s="22">
        <f t="shared" si="0"/>
        <v>0</v>
      </c>
      <c r="V7" s="22">
        <f t="shared" si="1"/>
        <v>270</v>
      </c>
      <c r="W7" s="22">
        <f t="shared" si="1"/>
        <v>0</v>
      </c>
      <c r="X7" s="419">
        <f t="shared" si="2"/>
        <v>0</v>
      </c>
      <c r="Y7" s="22">
        <f t="shared" si="1"/>
        <v>0</v>
      </c>
      <c r="Z7" s="419">
        <f t="shared" si="3"/>
        <v>0</v>
      </c>
      <c r="AA7" s="22">
        <f t="shared" si="1"/>
        <v>0</v>
      </c>
      <c r="AB7" s="22">
        <f t="shared" si="1"/>
        <v>0</v>
      </c>
      <c r="AC7" s="22">
        <f t="shared" si="1"/>
        <v>0</v>
      </c>
      <c r="AD7" s="22">
        <f t="shared" si="1"/>
        <v>0</v>
      </c>
      <c r="AE7" s="22">
        <f>N7/$T7</f>
        <v>0</v>
      </c>
      <c r="AF7" s="22">
        <f t="shared" si="1"/>
        <v>0</v>
      </c>
      <c r="AG7" s="22">
        <f t="shared" si="1"/>
        <v>0</v>
      </c>
      <c r="AH7" s="22">
        <f t="shared" si="1"/>
        <v>0</v>
      </c>
      <c r="AI7" s="22">
        <f t="shared" si="1"/>
        <v>0</v>
      </c>
      <c r="AJ7" s="22">
        <f t="shared" si="1"/>
        <v>0</v>
      </c>
      <c r="AK7" s="61"/>
    </row>
    <row r="8" spans="1:37" x14ac:dyDescent="0.25">
      <c r="A8" s="35">
        <v>7</v>
      </c>
      <c r="B8" s="35">
        <v>7</v>
      </c>
      <c r="C8" s="35"/>
      <c r="D8" s="3"/>
      <c r="E8" s="3"/>
      <c r="F8" s="3"/>
      <c r="G8" s="3">
        <v>700</v>
      </c>
      <c r="H8" s="3"/>
      <c r="I8" s="418"/>
      <c r="J8" s="3"/>
      <c r="K8" s="3"/>
      <c r="L8" s="418"/>
      <c r="M8" s="3"/>
      <c r="N8" s="3"/>
      <c r="O8" s="3"/>
      <c r="P8" s="3"/>
      <c r="Q8" s="418"/>
      <c r="R8" s="3"/>
      <c r="S8" s="3"/>
      <c r="T8" s="56">
        <v>4</v>
      </c>
      <c r="U8" s="22">
        <f t="shared" si="0"/>
        <v>0</v>
      </c>
      <c r="V8" s="22">
        <f t="shared" si="1"/>
        <v>0</v>
      </c>
      <c r="W8" s="22">
        <f t="shared" si="1"/>
        <v>0</v>
      </c>
      <c r="X8" s="419">
        <f t="shared" si="2"/>
        <v>233.33333333333334</v>
      </c>
      <c r="Y8" s="22">
        <f t="shared" si="1"/>
        <v>0</v>
      </c>
      <c r="Z8" s="419">
        <f t="shared" si="3"/>
        <v>0</v>
      </c>
      <c r="AA8" s="22">
        <f t="shared" si="1"/>
        <v>0</v>
      </c>
      <c r="AB8" s="22">
        <f t="shared" si="1"/>
        <v>0</v>
      </c>
      <c r="AC8" s="22">
        <f t="shared" si="1"/>
        <v>0</v>
      </c>
      <c r="AD8" s="22">
        <f t="shared" si="1"/>
        <v>0</v>
      </c>
      <c r="AE8" s="22">
        <f t="shared" si="1"/>
        <v>0</v>
      </c>
      <c r="AF8" s="22">
        <f t="shared" si="1"/>
        <v>0</v>
      </c>
      <c r="AG8" s="22">
        <f t="shared" si="1"/>
        <v>0</v>
      </c>
      <c r="AH8" s="22">
        <f t="shared" si="1"/>
        <v>0</v>
      </c>
      <c r="AI8" s="22">
        <f t="shared" si="1"/>
        <v>0</v>
      </c>
      <c r="AJ8" s="22">
        <f t="shared" si="1"/>
        <v>0</v>
      </c>
      <c r="AK8" s="61"/>
    </row>
    <row r="9" spans="1:37" x14ac:dyDescent="0.25">
      <c r="A9" s="35">
        <v>8</v>
      </c>
      <c r="B9" s="35">
        <v>8</v>
      </c>
      <c r="C9" s="35"/>
      <c r="D9" s="3"/>
      <c r="E9" s="3"/>
      <c r="F9" s="3"/>
      <c r="G9" s="3"/>
      <c r="H9" s="3"/>
      <c r="I9" s="418"/>
      <c r="J9" s="3"/>
      <c r="K9" s="3"/>
      <c r="L9" s="418"/>
      <c r="M9" s="3"/>
      <c r="N9" s="3"/>
      <c r="O9" s="3"/>
      <c r="P9" s="3"/>
      <c r="Q9" s="418"/>
      <c r="R9" s="3"/>
      <c r="S9" s="3"/>
      <c r="T9" s="56"/>
      <c r="U9" s="22" t="e">
        <f t="shared" si="0"/>
        <v>#DIV/0!</v>
      </c>
      <c r="V9" s="22" t="e">
        <f t="shared" si="1"/>
        <v>#DIV/0!</v>
      </c>
      <c r="W9" s="22" t="e">
        <f t="shared" si="1"/>
        <v>#DIV/0!</v>
      </c>
      <c r="X9" s="419" t="e">
        <f t="shared" si="2"/>
        <v>#DIV/0!</v>
      </c>
      <c r="Y9" s="22" t="e">
        <f t="shared" si="1"/>
        <v>#DIV/0!</v>
      </c>
      <c r="Z9" s="419" t="e">
        <f t="shared" si="3"/>
        <v>#DIV/0!</v>
      </c>
      <c r="AA9" s="22" t="e">
        <f t="shared" si="1"/>
        <v>#DIV/0!</v>
      </c>
      <c r="AB9" s="22" t="e">
        <f t="shared" si="1"/>
        <v>#DIV/0!</v>
      </c>
      <c r="AC9" s="22" t="e">
        <f t="shared" si="1"/>
        <v>#DIV/0!</v>
      </c>
      <c r="AD9" s="22" t="e">
        <f t="shared" si="1"/>
        <v>#DIV/0!</v>
      </c>
      <c r="AE9" s="22" t="e">
        <f t="shared" si="1"/>
        <v>#DIV/0!</v>
      </c>
      <c r="AF9" s="22" t="e">
        <f t="shared" si="1"/>
        <v>#DIV/0!</v>
      </c>
      <c r="AG9" s="22" t="e">
        <f t="shared" si="1"/>
        <v>#DIV/0!</v>
      </c>
      <c r="AH9" s="22" t="e">
        <f t="shared" si="1"/>
        <v>#DIV/0!</v>
      </c>
      <c r="AI9" s="22" t="e">
        <f t="shared" si="1"/>
        <v>#DIV/0!</v>
      </c>
      <c r="AJ9" s="22" t="e">
        <f t="shared" si="1"/>
        <v>#DIV/0!</v>
      </c>
      <c r="AK9" s="61"/>
    </row>
    <row r="10" spans="1:37" x14ac:dyDescent="0.25">
      <c r="A10" s="35">
        <v>9</v>
      </c>
      <c r="B10" s="35">
        <v>9</v>
      </c>
      <c r="C10" s="35"/>
      <c r="D10" s="3"/>
      <c r="E10" s="3"/>
      <c r="F10" s="3"/>
      <c r="G10" s="3"/>
      <c r="H10" s="3"/>
      <c r="I10" s="418"/>
      <c r="J10" s="3"/>
      <c r="K10" s="3"/>
      <c r="L10" s="418"/>
      <c r="M10" s="3"/>
      <c r="N10" s="3"/>
      <c r="O10" s="3"/>
      <c r="P10" s="3"/>
      <c r="Q10" s="418"/>
      <c r="R10" s="3"/>
      <c r="S10" s="3"/>
      <c r="T10" s="56"/>
      <c r="U10" s="22" t="e">
        <f t="shared" si="0"/>
        <v>#DIV/0!</v>
      </c>
      <c r="V10" s="22" t="e">
        <f t="shared" si="1"/>
        <v>#DIV/0!</v>
      </c>
      <c r="W10" s="22" t="e">
        <f t="shared" si="1"/>
        <v>#DIV/0!</v>
      </c>
      <c r="X10" s="419" t="e">
        <f t="shared" si="2"/>
        <v>#DIV/0!</v>
      </c>
      <c r="Y10" s="22" t="e">
        <f t="shared" si="1"/>
        <v>#DIV/0!</v>
      </c>
      <c r="Z10" s="419" t="e">
        <f t="shared" si="3"/>
        <v>#DIV/0!</v>
      </c>
      <c r="AA10" s="22" t="e">
        <f t="shared" si="1"/>
        <v>#DIV/0!</v>
      </c>
      <c r="AB10" s="22" t="e">
        <f t="shared" si="1"/>
        <v>#DIV/0!</v>
      </c>
      <c r="AC10" s="22" t="e">
        <f t="shared" si="1"/>
        <v>#DIV/0!</v>
      </c>
      <c r="AD10" s="22" t="e">
        <f t="shared" si="1"/>
        <v>#DIV/0!</v>
      </c>
      <c r="AE10" s="22" t="e">
        <f t="shared" si="1"/>
        <v>#DIV/0!</v>
      </c>
      <c r="AF10" s="22" t="e">
        <f t="shared" si="1"/>
        <v>#DIV/0!</v>
      </c>
      <c r="AG10" s="22" t="e">
        <f t="shared" si="1"/>
        <v>#DIV/0!</v>
      </c>
      <c r="AH10" s="22" t="e">
        <f t="shared" si="1"/>
        <v>#DIV/0!</v>
      </c>
      <c r="AI10" s="22" t="e">
        <f t="shared" si="1"/>
        <v>#DIV/0!</v>
      </c>
      <c r="AJ10" s="22" t="e">
        <f t="shared" si="1"/>
        <v>#DIV/0!</v>
      </c>
      <c r="AK10" s="61"/>
    </row>
    <row r="11" spans="1:37" x14ac:dyDescent="0.25">
      <c r="A11" s="35">
        <v>10</v>
      </c>
      <c r="B11" s="35">
        <v>10</v>
      </c>
      <c r="C11" s="35"/>
      <c r="D11" s="3"/>
      <c r="E11" s="3"/>
      <c r="F11" s="3"/>
      <c r="G11" s="3"/>
      <c r="H11" s="3"/>
      <c r="I11" s="418"/>
      <c r="J11" s="3"/>
      <c r="K11" s="3"/>
      <c r="L11" s="418"/>
      <c r="M11" s="3"/>
      <c r="N11" s="3"/>
      <c r="O11" s="3"/>
      <c r="P11" s="3"/>
      <c r="Q11" s="418"/>
      <c r="R11" s="3"/>
      <c r="S11" s="3"/>
      <c r="T11" s="56"/>
      <c r="U11" s="22" t="e">
        <f t="shared" si="0"/>
        <v>#DIV/0!</v>
      </c>
      <c r="V11" s="22" t="e">
        <f t="shared" si="1"/>
        <v>#DIV/0!</v>
      </c>
      <c r="W11" s="22" t="e">
        <f t="shared" si="1"/>
        <v>#DIV/0!</v>
      </c>
      <c r="X11" s="419" t="e">
        <f t="shared" si="2"/>
        <v>#DIV/0!</v>
      </c>
      <c r="Y11" s="22" t="e">
        <f t="shared" si="1"/>
        <v>#DIV/0!</v>
      </c>
      <c r="Z11" s="419" t="e">
        <f t="shared" si="3"/>
        <v>#DIV/0!</v>
      </c>
      <c r="AA11" s="22" t="e">
        <f t="shared" si="1"/>
        <v>#DIV/0!</v>
      </c>
      <c r="AB11" s="22" t="e">
        <f t="shared" si="1"/>
        <v>#DIV/0!</v>
      </c>
      <c r="AC11" s="22" t="e">
        <f t="shared" si="1"/>
        <v>#DIV/0!</v>
      </c>
      <c r="AD11" s="22" t="e">
        <f t="shared" si="1"/>
        <v>#DIV/0!</v>
      </c>
      <c r="AE11" s="22" t="e">
        <f t="shared" si="1"/>
        <v>#DIV/0!</v>
      </c>
      <c r="AF11" s="22" t="e">
        <f t="shared" si="1"/>
        <v>#DIV/0!</v>
      </c>
      <c r="AG11" s="22" t="e">
        <f t="shared" si="1"/>
        <v>#DIV/0!</v>
      </c>
      <c r="AH11" s="22" t="e">
        <f t="shared" si="1"/>
        <v>#DIV/0!</v>
      </c>
      <c r="AI11" s="22" t="e">
        <f t="shared" si="1"/>
        <v>#DIV/0!</v>
      </c>
      <c r="AJ11" s="22" t="e">
        <f t="shared" si="1"/>
        <v>#DIV/0!</v>
      </c>
      <c r="AK11" s="61"/>
    </row>
    <row r="12" spans="1:37" x14ac:dyDescent="0.25">
      <c r="A12" s="35">
        <v>11</v>
      </c>
      <c r="B12" s="35">
        <v>11</v>
      </c>
      <c r="C12" s="35"/>
      <c r="D12" s="3"/>
      <c r="E12" s="3"/>
      <c r="F12" s="3"/>
      <c r="G12" s="3"/>
      <c r="H12" s="3"/>
      <c r="I12" s="418"/>
      <c r="J12" s="3"/>
      <c r="K12" s="3"/>
      <c r="L12" s="418"/>
      <c r="M12" s="3"/>
      <c r="N12" s="3"/>
      <c r="O12" s="3"/>
      <c r="P12" s="3"/>
      <c r="Q12" s="418"/>
      <c r="R12" s="3"/>
      <c r="S12" s="3"/>
      <c r="T12" s="56"/>
      <c r="U12" s="22" t="e">
        <f t="shared" si="0"/>
        <v>#DIV/0!</v>
      </c>
      <c r="V12" s="22" t="e">
        <f t="shared" si="1"/>
        <v>#DIV/0!</v>
      </c>
      <c r="W12" s="22" t="e">
        <f t="shared" si="1"/>
        <v>#DIV/0!</v>
      </c>
      <c r="X12" s="419" t="e">
        <f t="shared" si="2"/>
        <v>#DIV/0!</v>
      </c>
      <c r="Y12" s="22" t="e">
        <f t="shared" si="1"/>
        <v>#DIV/0!</v>
      </c>
      <c r="Z12" s="419" t="e">
        <f t="shared" si="3"/>
        <v>#DIV/0!</v>
      </c>
      <c r="AA12" s="22" t="e">
        <f t="shared" si="1"/>
        <v>#DIV/0!</v>
      </c>
      <c r="AB12" s="22" t="e">
        <f t="shared" si="1"/>
        <v>#DIV/0!</v>
      </c>
      <c r="AC12" s="22" t="e">
        <f t="shared" si="1"/>
        <v>#DIV/0!</v>
      </c>
      <c r="AD12" s="22" t="e">
        <f t="shared" si="1"/>
        <v>#DIV/0!</v>
      </c>
      <c r="AE12" s="22" t="e">
        <f t="shared" si="1"/>
        <v>#DIV/0!</v>
      </c>
      <c r="AF12" s="22" t="e">
        <f t="shared" si="1"/>
        <v>#DIV/0!</v>
      </c>
      <c r="AG12" s="22" t="e">
        <f t="shared" si="1"/>
        <v>#DIV/0!</v>
      </c>
      <c r="AH12" s="22" t="e">
        <f t="shared" si="1"/>
        <v>#DIV/0!</v>
      </c>
      <c r="AI12" s="22" t="e">
        <f t="shared" si="1"/>
        <v>#DIV/0!</v>
      </c>
      <c r="AJ12" s="22" t="e">
        <f t="shared" si="1"/>
        <v>#DIV/0!</v>
      </c>
      <c r="AK12" s="61"/>
    </row>
    <row r="13" spans="1:37" x14ac:dyDescent="0.25">
      <c r="A13" s="35">
        <v>12</v>
      </c>
      <c r="B13" s="35">
        <v>12</v>
      </c>
      <c r="C13" s="3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418"/>
      <c r="R13" s="3"/>
      <c r="S13" s="22"/>
      <c r="T13" s="56"/>
      <c r="U13" s="22" t="e">
        <f t="shared" si="0"/>
        <v>#DIV/0!</v>
      </c>
      <c r="V13" s="22" t="e">
        <f t="shared" si="1"/>
        <v>#DIV/0!</v>
      </c>
      <c r="W13" s="22" t="e">
        <f t="shared" si="1"/>
        <v>#DIV/0!</v>
      </c>
      <c r="X13" s="419" t="e">
        <f t="shared" si="2"/>
        <v>#DIV/0!</v>
      </c>
      <c r="Y13" s="22" t="e">
        <f t="shared" si="1"/>
        <v>#DIV/0!</v>
      </c>
      <c r="Z13" s="419" t="e">
        <f t="shared" si="3"/>
        <v>#DIV/0!</v>
      </c>
      <c r="AA13" s="22" t="e">
        <f t="shared" si="1"/>
        <v>#DIV/0!</v>
      </c>
      <c r="AB13" s="22" t="e">
        <f t="shared" si="1"/>
        <v>#DIV/0!</v>
      </c>
      <c r="AC13" s="22" t="e">
        <f t="shared" si="1"/>
        <v>#DIV/0!</v>
      </c>
      <c r="AD13" s="22" t="e">
        <f t="shared" si="1"/>
        <v>#DIV/0!</v>
      </c>
      <c r="AE13" s="22" t="e">
        <f t="shared" si="1"/>
        <v>#DIV/0!</v>
      </c>
      <c r="AF13" s="22" t="e">
        <f t="shared" si="1"/>
        <v>#DIV/0!</v>
      </c>
      <c r="AG13" s="22" t="e">
        <f t="shared" si="1"/>
        <v>#DIV/0!</v>
      </c>
      <c r="AH13" s="22" t="e">
        <f t="shared" si="1"/>
        <v>#DIV/0!</v>
      </c>
      <c r="AI13" s="22" t="e">
        <f t="shared" si="1"/>
        <v>#DIV/0!</v>
      </c>
      <c r="AJ13" s="22" t="e">
        <f t="shared" si="1"/>
        <v>#DIV/0!</v>
      </c>
      <c r="AK13" s="61"/>
    </row>
    <row r="14" spans="1:37" x14ac:dyDescent="0.25">
      <c r="A14" s="35">
        <v>13</v>
      </c>
      <c r="B14" s="35">
        <v>13</v>
      </c>
      <c r="C14" s="3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22"/>
      <c r="T14" s="56"/>
      <c r="U14" s="22" t="e">
        <f t="shared" si="0"/>
        <v>#DIV/0!</v>
      </c>
      <c r="V14" s="22" t="e">
        <f t="shared" si="1"/>
        <v>#DIV/0!</v>
      </c>
      <c r="W14" s="22" t="e">
        <f t="shared" si="1"/>
        <v>#DIV/0!</v>
      </c>
      <c r="X14" s="419" t="e">
        <f t="shared" si="2"/>
        <v>#DIV/0!</v>
      </c>
      <c r="Y14" s="22" t="e">
        <f t="shared" si="1"/>
        <v>#DIV/0!</v>
      </c>
      <c r="Z14" s="419" t="e">
        <f t="shared" si="3"/>
        <v>#DIV/0!</v>
      </c>
      <c r="AA14" s="22" t="e">
        <f t="shared" si="1"/>
        <v>#DIV/0!</v>
      </c>
      <c r="AB14" s="22" t="e">
        <f t="shared" si="1"/>
        <v>#DIV/0!</v>
      </c>
      <c r="AC14" s="22" t="e">
        <f t="shared" si="1"/>
        <v>#DIV/0!</v>
      </c>
      <c r="AD14" s="22" t="e">
        <f t="shared" si="1"/>
        <v>#DIV/0!</v>
      </c>
      <c r="AE14" s="22" t="e">
        <f t="shared" si="1"/>
        <v>#DIV/0!</v>
      </c>
      <c r="AF14" s="22" t="e">
        <f t="shared" si="1"/>
        <v>#DIV/0!</v>
      </c>
      <c r="AG14" s="22" t="e">
        <f t="shared" si="1"/>
        <v>#DIV/0!</v>
      </c>
      <c r="AH14" s="22" t="e">
        <f t="shared" si="1"/>
        <v>#DIV/0!</v>
      </c>
      <c r="AI14" s="22" t="e">
        <f t="shared" si="1"/>
        <v>#DIV/0!</v>
      </c>
      <c r="AJ14" s="22" t="e">
        <f t="shared" si="1"/>
        <v>#DIV/0!</v>
      </c>
      <c r="AK14" s="61"/>
    </row>
    <row r="15" spans="1:37" x14ac:dyDescent="0.25">
      <c r="A15" s="35">
        <v>14</v>
      </c>
      <c r="B15" s="35">
        <v>14</v>
      </c>
      <c r="C15" s="35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22"/>
      <c r="T15" s="56"/>
      <c r="U15" s="22" t="e">
        <f t="shared" si="0"/>
        <v>#DIV/0!</v>
      </c>
      <c r="V15" s="22" t="e">
        <f t="shared" si="1"/>
        <v>#DIV/0!</v>
      </c>
      <c r="W15" s="22" t="e">
        <f t="shared" si="1"/>
        <v>#DIV/0!</v>
      </c>
      <c r="X15" s="419" t="e">
        <f t="shared" si="2"/>
        <v>#DIV/0!</v>
      </c>
      <c r="Y15" s="22" t="e">
        <f t="shared" si="1"/>
        <v>#DIV/0!</v>
      </c>
      <c r="Z15" s="419" t="e">
        <f t="shared" si="3"/>
        <v>#DIV/0!</v>
      </c>
      <c r="AA15" s="22" t="e">
        <f t="shared" si="1"/>
        <v>#DIV/0!</v>
      </c>
      <c r="AB15" s="22" t="e">
        <f t="shared" si="1"/>
        <v>#DIV/0!</v>
      </c>
      <c r="AC15" s="22" t="e">
        <f t="shared" si="1"/>
        <v>#DIV/0!</v>
      </c>
      <c r="AD15" s="22" t="e">
        <f t="shared" si="1"/>
        <v>#DIV/0!</v>
      </c>
      <c r="AE15" s="22" t="e">
        <f t="shared" si="1"/>
        <v>#DIV/0!</v>
      </c>
      <c r="AF15" s="22" t="e">
        <f t="shared" si="1"/>
        <v>#DIV/0!</v>
      </c>
      <c r="AG15" s="22" t="e">
        <f t="shared" si="1"/>
        <v>#DIV/0!</v>
      </c>
      <c r="AH15" s="22" t="e">
        <f t="shared" si="1"/>
        <v>#DIV/0!</v>
      </c>
      <c r="AI15" s="22" t="e">
        <f t="shared" si="1"/>
        <v>#DIV/0!</v>
      </c>
      <c r="AJ15" s="22" t="e">
        <f t="shared" si="1"/>
        <v>#DIV/0!</v>
      </c>
      <c r="AK15" s="61"/>
    </row>
    <row r="16" spans="1:37" x14ac:dyDescent="0.25">
      <c r="A16" s="35">
        <v>15</v>
      </c>
      <c r="B16" s="35">
        <v>15</v>
      </c>
      <c r="C16" s="3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22"/>
      <c r="T16" s="56"/>
      <c r="U16" s="22" t="e">
        <f t="shared" si="0"/>
        <v>#DIV/0!</v>
      </c>
      <c r="V16" s="22" t="e">
        <f t="shared" si="1"/>
        <v>#DIV/0!</v>
      </c>
      <c r="W16" s="22" t="e">
        <f t="shared" si="1"/>
        <v>#DIV/0!</v>
      </c>
      <c r="X16" s="419" t="e">
        <f t="shared" si="2"/>
        <v>#DIV/0!</v>
      </c>
      <c r="Y16" s="22" t="e">
        <f t="shared" si="1"/>
        <v>#DIV/0!</v>
      </c>
      <c r="Z16" s="419" t="e">
        <f t="shared" si="3"/>
        <v>#DIV/0!</v>
      </c>
      <c r="AA16" s="22" t="e">
        <f t="shared" si="1"/>
        <v>#DIV/0!</v>
      </c>
      <c r="AB16" s="22" t="e">
        <f t="shared" si="1"/>
        <v>#DIV/0!</v>
      </c>
      <c r="AC16" s="22" t="e">
        <f t="shared" si="1"/>
        <v>#DIV/0!</v>
      </c>
      <c r="AD16" s="22" t="e">
        <f t="shared" si="1"/>
        <v>#DIV/0!</v>
      </c>
      <c r="AE16" s="22" t="e">
        <f t="shared" si="1"/>
        <v>#DIV/0!</v>
      </c>
      <c r="AF16" s="22" t="e">
        <f t="shared" si="1"/>
        <v>#DIV/0!</v>
      </c>
      <c r="AG16" s="22" t="e">
        <f t="shared" si="1"/>
        <v>#DIV/0!</v>
      </c>
      <c r="AH16" s="22" t="e">
        <f t="shared" si="1"/>
        <v>#DIV/0!</v>
      </c>
      <c r="AI16" s="22" t="e">
        <f t="shared" si="1"/>
        <v>#DIV/0!</v>
      </c>
      <c r="AJ16" s="22" t="e">
        <f t="shared" si="1"/>
        <v>#DIV/0!</v>
      </c>
      <c r="AK16" s="61"/>
    </row>
    <row r="17" spans="1:39" x14ac:dyDescent="0.25">
      <c r="A17" s="35">
        <v>16</v>
      </c>
      <c r="B17" s="35"/>
      <c r="C17" s="35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22"/>
      <c r="T17" s="56"/>
      <c r="U17" s="22" t="e">
        <f t="shared" si="0"/>
        <v>#DIV/0!</v>
      </c>
      <c r="V17" s="22" t="e">
        <f t="shared" si="1"/>
        <v>#DIV/0!</v>
      </c>
      <c r="W17" s="22" t="e">
        <f t="shared" si="1"/>
        <v>#DIV/0!</v>
      </c>
      <c r="X17" s="419" t="e">
        <f t="shared" si="2"/>
        <v>#DIV/0!</v>
      </c>
      <c r="Y17" s="22" t="e">
        <f t="shared" si="1"/>
        <v>#DIV/0!</v>
      </c>
      <c r="Z17" s="419" t="e">
        <f t="shared" si="3"/>
        <v>#DIV/0!</v>
      </c>
      <c r="AA17" s="22" t="e">
        <f t="shared" si="1"/>
        <v>#DIV/0!</v>
      </c>
      <c r="AB17" s="22" t="e">
        <f t="shared" si="1"/>
        <v>#DIV/0!</v>
      </c>
      <c r="AC17" s="22" t="e">
        <f t="shared" si="1"/>
        <v>#DIV/0!</v>
      </c>
      <c r="AD17" s="22" t="e">
        <f t="shared" si="1"/>
        <v>#DIV/0!</v>
      </c>
      <c r="AE17" s="22" t="e">
        <f t="shared" si="1"/>
        <v>#DIV/0!</v>
      </c>
      <c r="AF17" s="22" t="e">
        <f t="shared" si="1"/>
        <v>#DIV/0!</v>
      </c>
      <c r="AG17" s="22" t="e">
        <f t="shared" si="1"/>
        <v>#DIV/0!</v>
      </c>
      <c r="AH17" s="22" t="e">
        <f t="shared" si="1"/>
        <v>#DIV/0!</v>
      </c>
      <c r="AI17" s="22" t="e">
        <f t="shared" si="1"/>
        <v>#DIV/0!</v>
      </c>
      <c r="AJ17" s="22" t="e">
        <f t="shared" si="1"/>
        <v>#DIV/0!</v>
      </c>
      <c r="AK17" s="61"/>
    </row>
    <row r="18" spans="1:39" x14ac:dyDescent="0.25">
      <c r="A18" s="35">
        <v>17</v>
      </c>
      <c r="B18" s="35"/>
      <c r="C18" s="35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22"/>
      <c r="T18" s="56"/>
      <c r="U18" s="22" t="e">
        <f t="shared" si="0"/>
        <v>#DIV/0!</v>
      </c>
      <c r="V18" s="22" t="e">
        <f>E18/$T18</f>
        <v>#DIV/0!</v>
      </c>
      <c r="W18" s="22" t="e">
        <f>F18/$T18</f>
        <v>#DIV/0!</v>
      </c>
      <c r="X18" s="419" t="e">
        <f t="shared" si="2"/>
        <v>#DIV/0!</v>
      </c>
      <c r="Y18" s="22" t="e">
        <f>H18/$T18</f>
        <v>#DIV/0!</v>
      </c>
      <c r="Z18" s="419" t="e">
        <f t="shared" si="3"/>
        <v>#DIV/0!</v>
      </c>
      <c r="AA18" s="22" t="e">
        <f t="shared" ref="AA18:AJ19" si="4">J18/$T18</f>
        <v>#DIV/0!</v>
      </c>
      <c r="AB18" s="22" t="e">
        <f t="shared" si="4"/>
        <v>#DIV/0!</v>
      </c>
      <c r="AC18" s="22" t="e">
        <f t="shared" si="4"/>
        <v>#DIV/0!</v>
      </c>
      <c r="AD18" s="22" t="e">
        <f t="shared" si="4"/>
        <v>#DIV/0!</v>
      </c>
      <c r="AE18" s="22" t="e">
        <f t="shared" si="4"/>
        <v>#DIV/0!</v>
      </c>
      <c r="AF18" s="22" t="e">
        <f t="shared" si="4"/>
        <v>#DIV/0!</v>
      </c>
      <c r="AG18" s="22" t="e">
        <f t="shared" si="4"/>
        <v>#DIV/0!</v>
      </c>
      <c r="AH18" s="22" t="e">
        <f t="shared" si="4"/>
        <v>#DIV/0!</v>
      </c>
      <c r="AI18" s="22" t="e">
        <f t="shared" si="4"/>
        <v>#DIV/0!</v>
      </c>
      <c r="AJ18" s="22" t="e">
        <f t="shared" si="4"/>
        <v>#DIV/0!</v>
      </c>
      <c r="AK18" s="61"/>
      <c r="AM18">
        <f>6300+330+1616</f>
        <v>8246</v>
      </c>
    </row>
    <row r="19" spans="1:39" x14ac:dyDescent="0.25">
      <c r="A19" s="35">
        <v>18</v>
      </c>
      <c r="B19" s="35"/>
      <c r="C19" s="35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22"/>
      <c r="T19" s="56"/>
      <c r="U19" s="22" t="e">
        <f t="shared" si="0"/>
        <v>#DIV/0!</v>
      </c>
      <c r="V19" s="22" t="e">
        <f>E19/$T19</f>
        <v>#DIV/0!</v>
      </c>
      <c r="W19" s="22" t="e">
        <f>F19/$T19</f>
        <v>#DIV/0!</v>
      </c>
      <c r="X19" s="419" t="e">
        <f t="shared" si="2"/>
        <v>#DIV/0!</v>
      </c>
      <c r="Y19" s="22" t="e">
        <f>H19/$T19</f>
        <v>#DIV/0!</v>
      </c>
      <c r="Z19" s="419" t="e">
        <f t="shared" si="3"/>
        <v>#DIV/0!</v>
      </c>
      <c r="AA19" s="22" t="e">
        <f t="shared" si="4"/>
        <v>#DIV/0!</v>
      </c>
      <c r="AB19" s="22" t="e">
        <f t="shared" si="4"/>
        <v>#DIV/0!</v>
      </c>
      <c r="AC19" s="22" t="e">
        <f t="shared" si="4"/>
        <v>#DIV/0!</v>
      </c>
      <c r="AD19" s="22" t="e">
        <f t="shared" si="4"/>
        <v>#DIV/0!</v>
      </c>
      <c r="AE19" s="22" t="e">
        <f t="shared" si="4"/>
        <v>#DIV/0!</v>
      </c>
      <c r="AF19" s="22" t="e">
        <f t="shared" si="4"/>
        <v>#DIV/0!</v>
      </c>
      <c r="AG19" s="22" t="e">
        <f t="shared" si="4"/>
        <v>#DIV/0!</v>
      </c>
      <c r="AH19" s="22" t="e">
        <f t="shared" si="4"/>
        <v>#DIV/0!</v>
      </c>
      <c r="AI19" s="22" t="e">
        <f t="shared" si="4"/>
        <v>#DIV/0!</v>
      </c>
      <c r="AJ19" s="22" t="e">
        <f t="shared" si="4"/>
        <v>#DIV/0!</v>
      </c>
      <c r="AK19" s="61"/>
    </row>
  </sheetData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2:AK114"/>
  <sheetViews>
    <sheetView workbookViewId="0">
      <selection activeCell="C8" sqref="C8"/>
    </sheetView>
  </sheetViews>
  <sheetFormatPr defaultRowHeight="15" x14ac:dyDescent="0.25"/>
  <cols>
    <col min="1" max="1" width="4.42578125" customWidth="1"/>
    <col min="2" max="2" width="19.85546875" style="334" customWidth="1"/>
    <col min="3" max="3" width="9.42578125" bestFit="1" customWidth="1"/>
    <col min="4" max="4" width="5.140625" bestFit="1" customWidth="1"/>
    <col min="5" max="5" width="6.7109375" customWidth="1"/>
    <col min="6" max="6" width="5.140625" bestFit="1" customWidth="1"/>
    <col min="7" max="7" width="5.5703125" customWidth="1"/>
    <col min="8" max="8" width="3.85546875" customWidth="1"/>
    <col min="9" max="9" width="5.140625" bestFit="1" customWidth="1"/>
    <col min="10" max="10" width="4.28515625" customWidth="1"/>
    <col min="11" max="12" width="5.140625" bestFit="1" customWidth="1"/>
    <col min="13" max="13" width="5" customWidth="1"/>
    <col min="14" max="14" width="5.5703125" customWidth="1"/>
    <col min="15" max="16" width="3.85546875" customWidth="1"/>
    <col min="17" max="17" width="5.42578125" customWidth="1"/>
    <col min="18" max="18" width="3.85546875" customWidth="1"/>
    <col min="19" max="19" width="6.85546875" customWidth="1"/>
    <col min="20" max="20" width="2.85546875" customWidth="1"/>
    <col min="21" max="21" width="3.7109375" customWidth="1"/>
    <col min="22" max="22" width="21.140625" customWidth="1"/>
    <col min="23" max="25" width="5.140625" bestFit="1" customWidth="1"/>
    <col min="26" max="26" width="6.85546875" customWidth="1"/>
    <col min="27" max="28" width="5.140625" bestFit="1" customWidth="1"/>
    <col min="29" max="29" width="3.85546875" bestFit="1" customWidth="1"/>
    <col min="30" max="32" width="5.140625" bestFit="1" customWidth="1"/>
    <col min="33" max="33" width="5" customWidth="1"/>
    <col min="34" max="37" width="3.85546875" bestFit="1" customWidth="1"/>
  </cols>
  <sheetData>
    <row r="2" spans="1:37" ht="61.5" customHeight="1" x14ac:dyDescent="0.25">
      <c r="A2" s="35"/>
      <c r="B2" s="331" t="s">
        <v>311</v>
      </c>
      <c r="C2" s="35" t="s">
        <v>310</v>
      </c>
      <c r="D2" s="59" t="str">
        <f>SX!U1</f>
        <v>bao 3dm3</v>
      </c>
      <c r="E2" s="59" t="str">
        <f>SX!V1</f>
        <v>bao 5dm3</v>
      </c>
      <c r="F2" s="59" t="str">
        <f>SX!W1</f>
        <v>bao 10dm3</v>
      </c>
      <c r="G2" s="59" t="str">
        <f>SX!X1</f>
        <v>bao 20dm3</v>
      </c>
      <c r="H2" s="59" t="str">
        <f>SX!Y1</f>
        <v>bao 40dm3</v>
      </c>
      <c r="I2" s="59" t="str">
        <f>SX!Z1</f>
        <v>bao 50dm3</v>
      </c>
      <c r="J2" s="59" t="str">
        <f>SX!AA1</f>
        <v>bao 100dm3</v>
      </c>
      <c r="K2" s="59" t="str">
        <f>SX!AB1</f>
        <v>bao 0,2kg</v>
      </c>
      <c r="L2" s="59" t="str">
        <f>SX!AC1</f>
        <v>bao 0,5 kg</v>
      </c>
      <c r="M2" s="59" t="str">
        <f>SX!AD1</f>
        <v>bao 01kg</v>
      </c>
      <c r="N2" s="59" t="str">
        <f>SX!AE1</f>
        <v>bao 10kg</v>
      </c>
      <c r="O2" s="59" t="str">
        <f>SX!AF1</f>
        <v>bao 25kg</v>
      </c>
      <c r="P2" s="59" t="str">
        <f>SX!AG1</f>
        <v>bao 35kg</v>
      </c>
      <c r="Q2" s="59" t="str">
        <f>SX!AH1</f>
        <v>bao 40kg</v>
      </c>
      <c r="R2" s="59" t="str">
        <f>SX!AI1</f>
        <v>bao 50kg</v>
      </c>
      <c r="S2" s="59" t="s">
        <v>314</v>
      </c>
      <c r="V2" s="68"/>
      <c r="W2" s="59" t="str">
        <f t="shared" ref="W2:AK2" si="0">D2</f>
        <v>bao 3dm3</v>
      </c>
      <c r="X2" s="59" t="str">
        <f t="shared" si="0"/>
        <v>bao 5dm3</v>
      </c>
      <c r="Y2" s="59" t="str">
        <f t="shared" si="0"/>
        <v>bao 10dm3</v>
      </c>
      <c r="Z2" s="59" t="str">
        <f t="shared" si="0"/>
        <v>bao 20dm3</v>
      </c>
      <c r="AA2" s="59" t="str">
        <f t="shared" si="0"/>
        <v>bao 40dm3</v>
      </c>
      <c r="AB2" s="59" t="str">
        <f t="shared" si="0"/>
        <v>bao 50dm3</v>
      </c>
      <c r="AC2" s="59" t="str">
        <f t="shared" si="0"/>
        <v>bao 100dm3</v>
      </c>
      <c r="AD2" s="59" t="str">
        <f t="shared" si="0"/>
        <v>bao 0,2kg</v>
      </c>
      <c r="AE2" s="59" t="str">
        <f t="shared" si="0"/>
        <v>bao 0,5 kg</v>
      </c>
      <c r="AF2" s="59" t="str">
        <f t="shared" si="0"/>
        <v>bao 01kg</v>
      </c>
      <c r="AG2" s="59" t="str">
        <f t="shared" si="0"/>
        <v>bao 10kg</v>
      </c>
      <c r="AH2" s="59" t="str">
        <f t="shared" si="0"/>
        <v>bao 25kg</v>
      </c>
      <c r="AI2" s="59" t="str">
        <f t="shared" si="0"/>
        <v>bao 35kg</v>
      </c>
      <c r="AJ2" s="59" t="str">
        <f t="shared" si="0"/>
        <v>bao 40kg</v>
      </c>
      <c r="AK2" s="59" t="str">
        <f t="shared" si="0"/>
        <v>bao 50kg</v>
      </c>
    </row>
    <row r="3" spans="1:37" x14ac:dyDescent="0.25">
      <c r="A3" s="35">
        <v>1</v>
      </c>
      <c r="B3" s="556" t="s">
        <v>599</v>
      </c>
      <c r="C3" s="35">
        <v>1</v>
      </c>
      <c r="D3" s="22">
        <f>SUMIFS(SX!U$2:U$19,SX!$B$2:$B$19,'chia CN SX'!$C3)</f>
        <v>0</v>
      </c>
      <c r="E3" s="419">
        <f>SUMIFS(SX!V$2:V$19,SX!$B$2:$B$19,'chia CN SX'!$C3)</f>
        <v>0</v>
      </c>
      <c r="F3" s="419">
        <f>SUMIFS(SX!W$2:W$19,SX!$B$2:$B$19,'chia CN SX'!$C3)</f>
        <v>0</v>
      </c>
      <c r="G3" s="419">
        <f>SUMIFS(SX!X$2:X$19,SX!$B$2:$B$19,'chia CN SX'!$C3)</f>
        <v>0</v>
      </c>
      <c r="H3" s="419">
        <f>SUMIFS(SX!Y$2:Y$19,SX!$B$2:$B$19,'chia CN SX'!$C3)</f>
        <v>0</v>
      </c>
      <c r="I3" s="419">
        <f>SUMIFS(SX!Z$2:Z$19,SX!$B$2:$B$19,'chia CN SX'!$C3)</f>
        <v>64</v>
      </c>
      <c r="J3" s="419">
        <f>SUMIFS(SX!AA$2:AA$19,SX!$B$2:$B$19,'chia CN SX'!$C3)</f>
        <v>0</v>
      </c>
      <c r="K3" s="419">
        <f>SUMIFS(SX!AB$2:AB$19,SX!$B$2:$B$19,'chia CN SX'!$C3)</f>
        <v>0</v>
      </c>
      <c r="L3" s="419">
        <f>SUMIFS(SX!AC$2:AC$19,SX!$B$2:$B$19,'chia CN SX'!$C3)</f>
        <v>0</v>
      </c>
      <c r="M3" s="419">
        <f>SUMIFS(SX!AD$2:AD$19,SX!$B$2:$B$19,'chia CN SX'!$C3)</f>
        <v>0</v>
      </c>
      <c r="N3" s="419">
        <f>SUMIFS(SX!AE$2:AE$19,SX!$B$2:$B$19,'chia CN SX'!$C3)</f>
        <v>0</v>
      </c>
      <c r="O3" s="419">
        <f>SUMIFS(SX!AF$2:AF$19,SX!$B$2:$B$19,'chia CN SX'!$C3)</f>
        <v>0</v>
      </c>
      <c r="P3" s="419">
        <f>SUMIFS(SX!AG$2:AG$19,SX!$B$2:$B$19,'chia CN SX'!$C3)</f>
        <v>0</v>
      </c>
      <c r="Q3" s="419">
        <f>SUMIFS(SX!AH$2:AH$19,SX!$B$2:$B$19,'chia CN SX'!$C3)</f>
        <v>0</v>
      </c>
      <c r="R3" s="419">
        <f>SUMIFS(SX!AI$2:AI$19,SX!$B$2:$B$19,'chia CN SX'!$C3)</f>
        <v>0</v>
      </c>
      <c r="S3" s="419">
        <f>SUMIFS(SX!AJ$2:AJ$19,SX!$B$2:$B$19,'chia CN SX'!$C3)</f>
        <v>0</v>
      </c>
      <c r="V3" s="67" t="e">
        <f>'chia CN boc xe'!U3</f>
        <v>#REF!</v>
      </c>
      <c r="W3" s="69">
        <f t="shared" ref="W3:W17" si="1">SUMIF($B$3:$B$114,$V3,D$3:D$114)</f>
        <v>0</v>
      </c>
      <c r="X3" s="69">
        <f t="shared" ref="X3:X17" si="2">SUMIF($B$3:$B$114,$V3,E$3:E$114)</f>
        <v>0</v>
      </c>
      <c r="Y3" s="69">
        <f t="shared" ref="Y3:Y17" si="3">SUMIF($B$3:$B$114,$V3,F$3:F$114)</f>
        <v>0</v>
      </c>
      <c r="Z3" s="69">
        <f t="shared" ref="Z3:Z17" si="4">SUMIF($B$3:$B$114,$V3,G$3:G$114)</f>
        <v>0</v>
      </c>
      <c r="AA3" s="69">
        <f t="shared" ref="AA3:AA17" si="5">SUMIF($B$3:$B$114,$V3,H$3:H$114)</f>
        <v>0</v>
      </c>
      <c r="AB3" s="69">
        <f t="shared" ref="AB3:AB17" si="6">SUMIF($B$3:$B$114,$V3,I$3:I$114)</f>
        <v>0</v>
      </c>
      <c r="AC3" s="69">
        <f t="shared" ref="AC3:AC17" si="7">SUMIF($B$3:$B$114,$V3,J$3:J$114)</f>
        <v>0</v>
      </c>
      <c r="AD3" s="69">
        <f t="shared" ref="AD3:AD17" si="8">SUMIF($B$3:$B$114,$V3,K$3:K$114)</f>
        <v>0</v>
      </c>
      <c r="AE3" s="69">
        <f t="shared" ref="AE3:AE17" si="9">SUMIF($B$3:$B$114,$V3,L$3:L$114)</f>
        <v>0</v>
      </c>
      <c r="AF3" s="69">
        <f t="shared" ref="AF3:AF17" si="10">SUMIF($B$3:$B$114,$V3,M$3:M$114)</f>
        <v>0</v>
      </c>
      <c r="AG3" s="69">
        <f t="shared" ref="AG3:AG17" si="11">SUMIF($B$3:$B$114,$V3,N$3:N$114)</f>
        <v>0</v>
      </c>
      <c r="AH3" s="69">
        <f t="shared" ref="AH3:AH17" si="12">SUMIF($B$3:$B$114,$V3,O$3:O$114)</f>
        <v>0</v>
      </c>
      <c r="AI3" s="69">
        <f t="shared" ref="AI3:AI17" si="13">SUMIF($B$3:$B$114,$V3,P$3:P$114)</f>
        <v>0</v>
      </c>
      <c r="AJ3" s="69">
        <f t="shared" ref="AJ3:AJ17" si="14">SUMIF($B$3:$B$114,$V3,Q$3:Q$114)</f>
        <v>0</v>
      </c>
      <c r="AK3" s="69">
        <f t="shared" ref="AK3:AK17" si="15">SUMIF($B$3:$B$114,$V3,R$3:R$114)</f>
        <v>0</v>
      </c>
    </row>
    <row r="4" spans="1:37" x14ac:dyDescent="0.25">
      <c r="A4" s="35">
        <f>A3+1</f>
        <v>2</v>
      </c>
      <c r="B4" s="556" t="s">
        <v>601</v>
      </c>
      <c r="C4" s="421">
        <v>1</v>
      </c>
      <c r="D4" s="419">
        <f>SUMIFS(SX!U$2:U$19,SX!$B$2:$B$19,'chia CN SX'!$C4)</f>
        <v>0</v>
      </c>
      <c r="E4" s="419">
        <f>SUMIFS(SX!V$2:V$19,SX!$B$2:$B$19,'chia CN SX'!$C4)</f>
        <v>0</v>
      </c>
      <c r="F4" s="419">
        <f>SUMIFS(SX!W$2:W$19,SX!$B$2:$B$19,'chia CN SX'!$C4)</f>
        <v>0</v>
      </c>
      <c r="G4" s="419">
        <f>SUMIFS(SX!X$2:X$19,SX!$B$2:$B$19,'chia CN SX'!$C4)</f>
        <v>0</v>
      </c>
      <c r="H4" s="419">
        <f>SUMIFS(SX!Y$2:Y$19,SX!$B$2:$B$19,'chia CN SX'!$C4)</f>
        <v>0</v>
      </c>
      <c r="I4" s="419">
        <f>SUMIFS(SX!Z$2:Z$19,SX!$B$2:$B$19,'chia CN SX'!$C4)</f>
        <v>64</v>
      </c>
      <c r="J4" s="419">
        <f>SUMIFS(SX!AA$2:AA$19,SX!$B$2:$B$19,'chia CN SX'!$C4)</f>
        <v>0</v>
      </c>
      <c r="K4" s="419">
        <f>SUMIFS(SX!AB$2:AB$19,SX!$B$2:$B$19,'chia CN SX'!$C4)</f>
        <v>0</v>
      </c>
      <c r="L4" s="419">
        <f>SUMIFS(SX!AC$2:AC$19,SX!$B$2:$B$19,'chia CN SX'!$C4)</f>
        <v>0</v>
      </c>
      <c r="M4" s="419">
        <f>SUMIFS(SX!AD$2:AD$19,SX!$B$2:$B$19,'chia CN SX'!$C4)</f>
        <v>0</v>
      </c>
      <c r="N4" s="419">
        <f>SUMIFS(SX!AE$2:AE$19,SX!$B$2:$B$19,'chia CN SX'!$C4)</f>
        <v>0</v>
      </c>
      <c r="O4" s="419">
        <f>SUMIFS(SX!AF$2:AF$19,SX!$B$2:$B$19,'chia CN SX'!$C4)</f>
        <v>0</v>
      </c>
      <c r="P4" s="419">
        <f>SUMIFS(SX!AG$2:AG$19,SX!$B$2:$B$19,'chia CN SX'!$C4)</f>
        <v>0</v>
      </c>
      <c r="Q4" s="419">
        <f>SUMIFS(SX!AH$2:AH$19,SX!$B$2:$B$19,'chia CN SX'!$C4)</f>
        <v>0</v>
      </c>
      <c r="R4" s="419">
        <f>SUMIFS(SX!AI$2:AI$19,SX!$B$2:$B$19,'chia CN SX'!$C4)</f>
        <v>0</v>
      </c>
      <c r="S4" s="419">
        <f>SUMIFS(SX!AJ$2:AJ$19,SX!$B$2:$B$19,'chia CN SX'!$C4)</f>
        <v>0</v>
      </c>
      <c r="V4" s="67" t="e">
        <f>'chia CN boc xe'!U4</f>
        <v>#REF!</v>
      </c>
      <c r="W4" s="69">
        <f t="shared" si="1"/>
        <v>0</v>
      </c>
      <c r="X4" s="69">
        <f t="shared" si="2"/>
        <v>0</v>
      </c>
      <c r="Y4" s="69">
        <f t="shared" si="3"/>
        <v>0</v>
      </c>
      <c r="Z4" s="69">
        <f t="shared" si="4"/>
        <v>0</v>
      </c>
      <c r="AA4" s="69">
        <f t="shared" si="5"/>
        <v>0</v>
      </c>
      <c r="AB4" s="69">
        <f t="shared" si="6"/>
        <v>0</v>
      </c>
      <c r="AC4" s="69">
        <f t="shared" si="7"/>
        <v>0</v>
      </c>
      <c r="AD4" s="69">
        <f t="shared" si="8"/>
        <v>0</v>
      </c>
      <c r="AE4" s="69">
        <f t="shared" si="9"/>
        <v>0</v>
      </c>
      <c r="AF4" s="69">
        <f t="shared" si="10"/>
        <v>0</v>
      </c>
      <c r="AG4" s="69">
        <f t="shared" si="11"/>
        <v>0</v>
      </c>
      <c r="AH4" s="69">
        <f t="shared" si="12"/>
        <v>0</v>
      </c>
      <c r="AI4" s="69">
        <f t="shared" si="13"/>
        <v>0</v>
      </c>
      <c r="AJ4" s="69">
        <f t="shared" si="14"/>
        <v>0</v>
      </c>
      <c r="AK4" s="69">
        <f t="shared" si="15"/>
        <v>0</v>
      </c>
    </row>
    <row r="5" spans="1:37" x14ac:dyDescent="0.25">
      <c r="A5" s="421">
        <f t="shared" ref="A5:A67" si="16">A4+1</f>
        <v>3</v>
      </c>
      <c r="B5" s="556" t="s">
        <v>615</v>
      </c>
      <c r="C5" s="421">
        <v>1</v>
      </c>
      <c r="D5" s="419">
        <f>SUMIFS(SX!U$2:U$19,SX!$B$2:$B$19,'chia CN SX'!$C5)</f>
        <v>0</v>
      </c>
      <c r="E5" s="419">
        <f>SUMIFS(SX!V$2:V$19,SX!$B$2:$B$19,'chia CN SX'!$C5)</f>
        <v>0</v>
      </c>
      <c r="F5" s="419">
        <f>SUMIFS(SX!W$2:W$19,SX!$B$2:$B$19,'chia CN SX'!$C5)</f>
        <v>0</v>
      </c>
      <c r="G5" s="419">
        <f>SUMIFS(SX!X$2:X$19,SX!$B$2:$B$19,'chia CN SX'!$C5)</f>
        <v>0</v>
      </c>
      <c r="H5" s="419">
        <f>SUMIFS(SX!Y$2:Y$19,SX!$B$2:$B$19,'chia CN SX'!$C5)</f>
        <v>0</v>
      </c>
      <c r="I5" s="419">
        <f>SUMIFS(SX!Z$2:Z$19,SX!$B$2:$B$19,'chia CN SX'!$C5)</f>
        <v>64</v>
      </c>
      <c r="J5" s="419">
        <f>SUMIFS(SX!AA$2:AA$19,SX!$B$2:$B$19,'chia CN SX'!$C5)</f>
        <v>0</v>
      </c>
      <c r="K5" s="419">
        <f>SUMIFS(SX!AB$2:AB$19,SX!$B$2:$B$19,'chia CN SX'!$C5)</f>
        <v>0</v>
      </c>
      <c r="L5" s="419">
        <f>SUMIFS(SX!AC$2:AC$19,SX!$B$2:$B$19,'chia CN SX'!$C5)</f>
        <v>0</v>
      </c>
      <c r="M5" s="419">
        <f>SUMIFS(SX!AD$2:AD$19,SX!$B$2:$B$19,'chia CN SX'!$C5)</f>
        <v>0</v>
      </c>
      <c r="N5" s="419">
        <f>SUMIFS(SX!AE$2:AE$19,SX!$B$2:$B$19,'chia CN SX'!$C5)</f>
        <v>0</v>
      </c>
      <c r="O5" s="419">
        <f>SUMIFS(SX!AF$2:AF$19,SX!$B$2:$B$19,'chia CN SX'!$C5)</f>
        <v>0</v>
      </c>
      <c r="P5" s="419">
        <f>SUMIFS(SX!AG$2:AG$19,SX!$B$2:$B$19,'chia CN SX'!$C5)</f>
        <v>0</v>
      </c>
      <c r="Q5" s="419">
        <f>SUMIFS(SX!AH$2:AH$19,SX!$B$2:$B$19,'chia CN SX'!$C5)</f>
        <v>0</v>
      </c>
      <c r="R5" s="419">
        <f>SUMIFS(SX!AI$2:AI$19,SX!$B$2:$B$19,'chia CN SX'!$C5)</f>
        <v>0</v>
      </c>
      <c r="S5" s="419">
        <f>SUMIFS(SX!AJ$2:AJ$19,SX!$B$2:$B$19,'chia CN SX'!$C5)</f>
        <v>0</v>
      </c>
      <c r="V5" s="67" t="e">
        <f>'chia CN boc xe'!U5</f>
        <v>#REF!</v>
      </c>
      <c r="W5" s="69">
        <f t="shared" si="1"/>
        <v>0</v>
      </c>
      <c r="X5" s="69">
        <f t="shared" si="2"/>
        <v>0</v>
      </c>
      <c r="Y5" s="69">
        <f t="shared" si="3"/>
        <v>0</v>
      </c>
      <c r="Z5" s="69">
        <f t="shared" si="4"/>
        <v>0</v>
      </c>
      <c r="AA5" s="69">
        <f t="shared" si="5"/>
        <v>0</v>
      </c>
      <c r="AB5" s="69">
        <f t="shared" si="6"/>
        <v>0</v>
      </c>
      <c r="AC5" s="69">
        <f t="shared" si="7"/>
        <v>0</v>
      </c>
      <c r="AD5" s="69">
        <f t="shared" si="8"/>
        <v>0</v>
      </c>
      <c r="AE5" s="69">
        <f t="shared" si="9"/>
        <v>0</v>
      </c>
      <c r="AF5" s="69">
        <f t="shared" si="10"/>
        <v>0</v>
      </c>
      <c r="AG5" s="69">
        <f t="shared" si="11"/>
        <v>0</v>
      </c>
      <c r="AH5" s="69">
        <f t="shared" si="12"/>
        <v>0</v>
      </c>
      <c r="AI5" s="69">
        <f t="shared" si="13"/>
        <v>0</v>
      </c>
      <c r="AJ5" s="69">
        <f t="shared" si="14"/>
        <v>0</v>
      </c>
      <c r="AK5" s="69">
        <f t="shared" si="15"/>
        <v>0</v>
      </c>
    </row>
    <row r="6" spans="1:37" x14ac:dyDescent="0.25">
      <c r="A6" s="421">
        <f t="shared" si="16"/>
        <v>4</v>
      </c>
      <c r="B6" s="556" t="s">
        <v>719</v>
      </c>
      <c r="C6" s="421">
        <v>1</v>
      </c>
      <c r="D6" s="419">
        <f>SUMIFS(SX!U$2:U$19,SX!$B$2:$B$19,'chia CN SX'!$C6)</f>
        <v>0</v>
      </c>
      <c r="E6" s="419">
        <f>SUMIFS(SX!V$2:V$19,SX!$B$2:$B$19,'chia CN SX'!$C6)</f>
        <v>0</v>
      </c>
      <c r="F6" s="419">
        <f>SUMIFS(SX!W$2:W$19,SX!$B$2:$B$19,'chia CN SX'!$C6)</f>
        <v>0</v>
      </c>
      <c r="G6" s="419">
        <f>SUMIFS(SX!X$2:X$19,SX!$B$2:$B$19,'chia CN SX'!$C6)</f>
        <v>0</v>
      </c>
      <c r="H6" s="419">
        <f>SUMIFS(SX!Y$2:Y$19,SX!$B$2:$B$19,'chia CN SX'!$C6)</f>
        <v>0</v>
      </c>
      <c r="I6" s="419">
        <f>SUMIFS(SX!Z$2:Z$19,SX!$B$2:$B$19,'chia CN SX'!$C6)</f>
        <v>64</v>
      </c>
      <c r="J6" s="419">
        <f>SUMIFS(SX!AA$2:AA$19,SX!$B$2:$B$19,'chia CN SX'!$C6)</f>
        <v>0</v>
      </c>
      <c r="K6" s="419">
        <f>SUMIFS(SX!AB$2:AB$19,SX!$B$2:$B$19,'chia CN SX'!$C6)</f>
        <v>0</v>
      </c>
      <c r="L6" s="419">
        <f>SUMIFS(SX!AC$2:AC$19,SX!$B$2:$B$19,'chia CN SX'!$C6)</f>
        <v>0</v>
      </c>
      <c r="M6" s="419">
        <f>SUMIFS(SX!AD$2:AD$19,SX!$B$2:$B$19,'chia CN SX'!$C6)</f>
        <v>0</v>
      </c>
      <c r="N6" s="419">
        <f>SUMIFS(SX!AE$2:AE$19,SX!$B$2:$B$19,'chia CN SX'!$C6)</f>
        <v>0</v>
      </c>
      <c r="O6" s="419">
        <f>SUMIFS(SX!AF$2:AF$19,SX!$B$2:$B$19,'chia CN SX'!$C6)</f>
        <v>0</v>
      </c>
      <c r="P6" s="419">
        <f>SUMIFS(SX!AG$2:AG$19,SX!$B$2:$B$19,'chia CN SX'!$C6)</f>
        <v>0</v>
      </c>
      <c r="Q6" s="419">
        <f>SUMIFS(SX!AH$2:AH$19,SX!$B$2:$B$19,'chia CN SX'!$C6)</f>
        <v>0</v>
      </c>
      <c r="R6" s="419">
        <f>SUMIFS(SX!AI$2:AI$19,SX!$B$2:$B$19,'chia CN SX'!$C6)</f>
        <v>0</v>
      </c>
      <c r="S6" s="419">
        <f>SUMIFS(SX!AJ$2:AJ$19,SX!$B$2:$B$19,'chia CN SX'!$C6)</f>
        <v>0</v>
      </c>
      <c r="V6" s="67" t="str">
        <f>'chia CN boc xe'!U6</f>
        <v>Lê Tấn Phát</v>
      </c>
      <c r="W6" s="69">
        <f t="shared" si="1"/>
        <v>0</v>
      </c>
      <c r="X6" s="69">
        <f t="shared" si="2"/>
        <v>0</v>
      </c>
      <c r="Y6" s="69">
        <f t="shared" si="3"/>
        <v>0</v>
      </c>
      <c r="Z6" s="69">
        <f t="shared" si="4"/>
        <v>0</v>
      </c>
      <c r="AA6" s="69">
        <f t="shared" si="5"/>
        <v>0</v>
      </c>
      <c r="AB6" s="69">
        <f t="shared" si="6"/>
        <v>0</v>
      </c>
      <c r="AC6" s="69">
        <f t="shared" si="7"/>
        <v>0</v>
      </c>
      <c r="AD6" s="69">
        <f t="shared" si="8"/>
        <v>0</v>
      </c>
      <c r="AE6" s="69">
        <f t="shared" si="9"/>
        <v>0</v>
      </c>
      <c r="AF6" s="69">
        <f t="shared" si="10"/>
        <v>0</v>
      </c>
      <c r="AG6" s="69">
        <f t="shared" si="11"/>
        <v>0</v>
      </c>
      <c r="AH6" s="69">
        <f t="shared" si="12"/>
        <v>0</v>
      </c>
      <c r="AI6" s="69">
        <f t="shared" si="13"/>
        <v>0</v>
      </c>
      <c r="AJ6" s="69">
        <f t="shared" si="14"/>
        <v>0</v>
      </c>
      <c r="AK6" s="69">
        <f t="shared" si="15"/>
        <v>0</v>
      </c>
    </row>
    <row r="7" spans="1:37" x14ac:dyDescent="0.25">
      <c r="A7" s="421">
        <f t="shared" si="16"/>
        <v>5</v>
      </c>
      <c r="B7" s="556" t="s">
        <v>747</v>
      </c>
      <c r="C7" s="421">
        <v>1</v>
      </c>
      <c r="D7" s="419">
        <f>SUMIFS(SX!U$2:U$19,SX!$B$2:$B$19,'chia CN SX'!$C7)</f>
        <v>0</v>
      </c>
      <c r="E7" s="419">
        <f>SUMIFS(SX!V$2:V$19,SX!$B$2:$B$19,'chia CN SX'!$C7)</f>
        <v>0</v>
      </c>
      <c r="F7" s="419">
        <f>SUMIFS(SX!W$2:W$19,SX!$B$2:$B$19,'chia CN SX'!$C7)</f>
        <v>0</v>
      </c>
      <c r="G7" s="419">
        <f>SUMIFS(SX!X$2:X$19,SX!$B$2:$B$19,'chia CN SX'!$C7)</f>
        <v>0</v>
      </c>
      <c r="H7" s="419">
        <f>SUMIFS(SX!Y$2:Y$19,SX!$B$2:$B$19,'chia CN SX'!$C7)</f>
        <v>0</v>
      </c>
      <c r="I7" s="419">
        <f>SUMIFS(SX!Z$2:Z$19,SX!$B$2:$B$19,'chia CN SX'!$C7)</f>
        <v>64</v>
      </c>
      <c r="J7" s="419">
        <f>SUMIFS(SX!AA$2:AA$19,SX!$B$2:$B$19,'chia CN SX'!$C7)</f>
        <v>0</v>
      </c>
      <c r="K7" s="419">
        <f>SUMIFS(SX!AB$2:AB$19,SX!$B$2:$B$19,'chia CN SX'!$C7)</f>
        <v>0</v>
      </c>
      <c r="L7" s="419">
        <f>SUMIFS(SX!AC$2:AC$19,SX!$B$2:$B$19,'chia CN SX'!$C7)</f>
        <v>0</v>
      </c>
      <c r="M7" s="419">
        <f>SUMIFS(SX!AD$2:AD$19,SX!$B$2:$B$19,'chia CN SX'!$C7)</f>
        <v>0</v>
      </c>
      <c r="N7" s="419">
        <f>SUMIFS(SX!AE$2:AE$19,SX!$B$2:$B$19,'chia CN SX'!$C7)</f>
        <v>0</v>
      </c>
      <c r="O7" s="419">
        <f>SUMIFS(SX!AF$2:AF$19,SX!$B$2:$B$19,'chia CN SX'!$C7)</f>
        <v>0</v>
      </c>
      <c r="P7" s="419">
        <f>SUMIFS(SX!AG$2:AG$19,SX!$B$2:$B$19,'chia CN SX'!$C7)</f>
        <v>0</v>
      </c>
      <c r="Q7" s="419">
        <f>SUMIFS(SX!AH$2:AH$19,SX!$B$2:$B$19,'chia CN SX'!$C7)</f>
        <v>0</v>
      </c>
      <c r="R7" s="419">
        <f>SUMIFS(SX!AI$2:AI$19,SX!$B$2:$B$19,'chia CN SX'!$C7)</f>
        <v>0</v>
      </c>
      <c r="S7" s="419">
        <f>SUMIFS(SX!AJ$2:AJ$19,SX!$B$2:$B$19,'chia CN SX'!$C7)</f>
        <v>0</v>
      </c>
      <c r="V7" s="67" t="str">
        <f>'chia CN boc xe'!U7</f>
        <v>Triệu Minh Tú</v>
      </c>
      <c r="W7" s="69">
        <f t="shared" si="1"/>
        <v>0</v>
      </c>
      <c r="X7" s="69">
        <f t="shared" si="2"/>
        <v>0</v>
      </c>
      <c r="Y7" s="69">
        <f t="shared" si="3"/>
        <v>0</v>
      </c>
      <c r="Z7" s="69">
        <f t="shared" si="4"/>
        <v>0</v>
      </c>
      <c r="AA7" s="69">
        <f t="shared" si="5"/>
        <v>0</v>
      </c>
      <c r="AB7" s="69">
        <f t="shared" si="6"/>
        <v>0</v>
      </c>
      <c r="AC7" s="69">
        <f t="shared" si="7"/>
        <v>0</v>
      </c>
      <c r="AD7" s="69">
        <f t="shared" si="8"/>
        <v>0</v>
      </c>
      <c r="AE7" s="69">
        <f t="shared" si="9"/>
        <v>0</v>
      </c>
      <c r="AF7" s="69">
        <f t="shared" si="10"/>
        <v>0</v>
      </c>
      <c r="AG7" s="69">
        <f t="shared" si="11"/>
        <v>0</v>
      </c>
      <c r="AH7" s="69">
        <f t="shared" si="12"/>
        <v>0</v>
      </c>
      <c r="AI7" s="69">
        <f t="shared" si="13"/>
        <v>0</v>
      </c>
      <c r="AJ7" s="69">
        <f t="shared" si="14"/>
        <v>0</v>
      </c>
      <c r="AK7" s="69">
        <f t="shared" si="15"/>
        <v>0</v>
      </c>
    </row>
    <row r="8" spans="1:37" x14ac:dyDescent="0.25">
      <c r="A8" s="421">
        <f t="shared" si="16"/>
        <v>6</v>
      </c>
      <c r="B8" s="331" t="s">
        <v>748</v>
      </c>
      <c r="C8" s="421">
        <v>1</v>
      </c>
      <c r="D8" s="419">
        <f>SUMIFS(SX!U$2:U$19,SX!$B$2:$B$19,'chia CN SX'!$C8)</f>
        <v>0</v>
      </c>
      <c r="E8" s="419">
        <f>SUMIFS(SX!V$2:V$19,SX!$B$2:$B$19,'chia CN SX'!$C8)</f>
        <v>0</v>
      </c>
      <c r="F8" s="419">
        <f>SUMIFS(SX!W$2:W$19,SX!$B$2:$B$19,'chia CN SX'!$C8)</f>
        <v>0</v>
      </c>
      <c r="G8" s="419">
        <f>SUMIFS(SX!X$2:X$19,SX!$B$2:$B$19,'chia CN SX'!$C8)</f>
        <v>0</v>
      </c>
      <c r="H8" s="419">
        <f>SUMIFS(SX!Y$2:Y$19,SX!$B$2:$B$19,'chia CN SX'!$C8)</f>
        <v>0</v>
      </c>
      <c r="I8" s="419">
        <f>SUMIFS(SX!Z$2:Z$19,SX!$B$2:$B$19,'chia CN SX'!$C8)</f>
        <v>64</v>
      </c>
      <c r="J8" s="419">
        <f>SUMIFS(SX!AA$2:AA$19,SX!$B$2:$B$19,'chia CN SX'!$C8)</f>
        <v>0</v>
      </c>
      <c r="K8" s="419">
        <f>SUMIFS(SX!AB$2:AB$19,SX!$B$2:$B$19,'chia CN SX'!$C8)</f>
        <v>0</v>
      </c>
      <c r="L8" s="419">
        <f>SUMIFS(SX!AC$2:AC$19,SX!$B$2:$B$19,'chia CN SX'!$C8)</f>
        <v>0</v>
      </c>
      <c r="M8" s="419">
        <f>SUMIFS(SX!AD$2:AD$19,SX!$B$2:$B$19,'chia CN SX'!$C8)</f>
        <v>0</v>
      </c>
      <c r="N8" s="419">
        <f>SUMIFS(SX!AE$2:AE$19,SX!$B$2:$B$19,'chia CN SX'!$C8)</f>
        <v>0</v>
      </c>
      <c r="O8" s="419">
        <f>SUMIFS(SX!AF$2:AF$19,SX!$B$2:$B$19,'chia CN SX'!$C8)</f>
        <v>0</v>
      </c>
      <c r="P8" s="419">
        <f>SUMIFS(SX!AG$2:AG$19,SX!$B$2:$B$19,'chia CN SX'!$C8)</f>
        <v>0</v>
      </c>
      <c r="Q8" s="419">
        <f>SUMIFS(SX!AH$2:AH$19,SX!$B$2:$B$19,'chia CN SX'!$C8)</f>
        <v>0</v>
      </c>
      <c r="R8" s="419">
        <f>SUMIFS(SX!AI$2:AI$19,SX!$B$2:$B$19,'chia CN SX'!$C8)</f>
        <v>0</v>
      </c>
      <c r="S8" s="419">
        <f>SUMIFS(SX!AJ$2:AJ$19,SX!$B$2:$B$19,'chia CN SX'!$C8)</f>
        <v>0</v>
      </c>
      <c r="V8" s="67" t="e">
        <f>'chia CN boc xe'!U8</f>
        <v>#REF!</v>
      </c>
      <c r="W8" s="69">
        <f t="shared" si="1"/>
        <v>0</v>
      </c>
      <c r="X8" s="69">
        <f t="shared" si="2"/>
        <v>0</v>
      </c>
      <c r="Y8" s="69">
        <f t="shared" si="3"/>
        <v>0</v>
      </c>
      <c r="Z8" s="69">
        <f t="shared" si="4"/>
        <v>0</v>
      </c>
      <c r="AA8" s="69">
        <f t="shared" si="5"/>
        <v>0</v>
      </c>
      <c r="AB8" s="69">
        <f t="shared" si="6"/>
        <v>0</v>
      </c>
      <c r="AC8" s="69">
        <f t="shared" si="7"/>
        <v>0</v>
      </c>
      <c r="AD8" s="69">
        <f t="shared" si="8"/>
        <v>0</v>
      </c>
      <c r="AE8" s="69">
        <f t="shared" si="9"/>
        <v>0</v>
      </c>
      <c r="AF8" s="69">
        <f t="shared" si="10"/>
        <v>0</v>
      </c>
      <c r="AG8" s="69">
        <f t="shared" si="11"/>
        <v>0</v>
      </c>
      <c r="AH8" s="69">
        <f t="shared" si="12"/>
        <v>0</v>
      </c>
      <c r="AI8" s="69">
        <f t="shared" si="13"/>
        <v>0</v>
      </c>
      <c r="AJ8" s="69">
        <f t="shared" si="14"/>
        <v>0</v>
      </c>
      <c r="AK8" s="69">
        <f t="shared" si="15"/>
        <v>0</v>
      </c>
    </row>
    <row r="9" spans="1:37" x14ac:dyDescent="0.25">
      <c r="A9" s="421">
        <f t="shared" si="16"/>
        <v>7</v>
      </c>
      <c r="B9" s="331" t="s">
        <v>614</v>
      </c>
      <c r="C9" s="421">
        <v>2</v>
      </c>
      <c r="D9" s="419">
        <f>SUMIFS(SX!U$2:U$19,SX!$B$2:$B$19,'chia CN SX'!$C9)</f>
        <v>0</v>
      </c>
      <c r="E9" s="419">
        <f>SUMIFS(SX!V$2:V$19,SX!$B$2:$B$19,'chia CN SX'!$C9)</f>
        <v>0</v>
      </c>
      <c r="F9" s="419">
        <f>SUMIFS(SX!W$2:W$19,SX!$B$2:$B$19,'chia CN SX'!$C9)</f>
        <v>0</v>
      </c>
      <c r="G9" s="419">
        <f>SUMIFS(SX!X$2:X$19,SX!$B$2:$B$19,'chia CN SX'!$C9)</f>
        <v>0</v>
      </c>
      <c r="H9" s="419">
        <f>SUMIFS(SX!Y$2:Y$19,SX!$B$2:$B$19,'chia CN SX'!$C9)</f>
        <v>0</v>
      </c>
      <c r="I9" s="419">
        <f>SUMIFS(SX!Z$2:Z$19,SX!$B$2:$B$19,'chia CN SX'!$C9)</f>
        <v>240</v>
      </c>
      <c r="J9" s="419">
        <f>SUMIFS(SX!AA$2:AA$19,SX!$B$2:$B$19,'chia CN SX'!$C9)</f>
        <v>0</v>
      </c>
      <c r="K9" s="419">
        <f>SUMIFS(SX!AB$2:AB$19,SX!$B$2:$B$19,'chia CN SX'!$C9)</f>
        <v>0</v>
      </c>
      <c r="L9" s="419">
        <f>SUMIFS(SX!AC$2:AC$19,SX!$B$2:$B$19,'chia CN SX'!$C9)</f>
        <v>0</v>
      </c>
      <c r="M9" s="419">
        <f>SUMIFS(SX!AD$2:AD$19,SX!$B$2:$B$19,'chia CN SX'!$C9)</f>
        <v>0</v>
      </c>
      <c r="N9" s="419">
        <f>SUMIFS(SX!AE$2:AE$19,SX!$B$2:$B$19,'chia CN SX'!$C9)</f>
        <v>0</v>
      </c>
      <c r="O9" s="419">
        <f>SUMIFS(SX!AF$2:AF$19,SX!$B$2:$B$19,'chia CN SX'!$C9)</f>
        <v>0</v>
      </c>
      <c r="P9" s="419">
        <f>SUMIFS(SX!AG$2:AG$19,SX!$B$2:$B$19,'chia CN SX'!$C9)</f>
        <v>0</v>
      </c>
      <c r="Q9" s="419">
        <f>SUMIFS(SX!AH$2:AH$19,SX!$B$2:$B$19,'chia CN SX'!$C9)</f>
        <v>0</v>
      </c>
      <c r="R9" s="419">
        <f>SUMIFS(SX!AI$2:AI$19,SX!$B$2:$B$19,'chia CN SX'!$C9)</f>
        <v>0</v>
      </c>
      <c r="S9" s="419">
        <f>SUMIFS(SX!AJ$2:AJ$19,SX!$B$2:$B$19,'chia CN SX'!$C9)</f>
        <v>0</v>
      </c>
      <c r="V9" s="67" t="str">
        <f>'chia CN boc xe'!U9</f>
        <v>Thạch Giàu</v>
      </c>
      <c r="W9" s="69">
        <f t="shared" si="1"/>
        <v>0</v>
      </c>
      <c r="X9" s="69">
        <f t="shared" si="2"/>
        <v>0</v>
      </c>
      <c r="Y9" s="69">
        <f t="shared" si="3"/>
        <v>0</v>
      </c>
      <c r="Z9" s="69">
        <f t="shared" si="4"/>
        <v>0</v>
      </c>
      <c r="AA9" s="69">
        <f t="shared" si="5"/>
        <v>0</v>
      </c>
      <c r="AB9" s="69">
        <f t="shared" si="6"/>
        <v>0</v>
      </c>
      <c r="AC9" s="69">
        <f t="shared" si="7"/>
        <v>0</v>
      </c>
      <c r="AD9" s="69">
        <f t="shared" si="8"/>
        <v>0</v>
      </c>
      <c r="AE9" s="69">
        <f t="shared" si="9"/>
        <v>0</v>
      </c>
      <c r="AF9" s="69">
        <f t="shared" si="10"/>
        <v>0</v>
      </c>
      <c r="AG9" s="69">
        <f t="shared" si="11"/>
        <v>0</v>
      </c>
      <c r="AH9" s="69">
        <f t="shared" si="12"/>
        <v>0</v>
      </c>
      <c r="AI9" s="69">
        <f t="shared" si="13"/>
        <v>0</v>
      </c>
      <c r="AJ9" s="69">
        <f t="shared" si="14"/>
        <v>0</v>
      </c>
      <c r="AK9" s="69">
        <f t="shared" si="15"/>
        <v>0</v>
      </c>
    </row>
    <row r="10" spans="1:37" x14ac:dyDescent="0.25">
      <c r="A10" s="421">
        <f t="shared" si="16"/>
        <v>8</v>
      </c>
      <c r="B10" s="331" t="s">
        <v>701</v>
      </c>
      <c r="C10" s="421">
        <v>2</v>
      </c>
      <c r="D10" s="419">
        <f>SUMIFS(SX!U$2:U$19,SX!$B$2:$B$19,'chia CN SX'!$C10)</f>
        <v>0</v>
      </c>
      <c r="E10" s="419">
        <f>SUMIFS(SX!V$2:V$19,SX!$B$2:$B$19,'chia CN SX'!$C10)</f>
        <v>0</v>
      </c>
      <c r="F10" s="419">
        <f>SUMIFS(SX!W$2:W$19,SX!$B$2:$B$19,'chia CN SX'!$C10)</f>
        <v>0</v>
      </c>
      <c r="G10" s="419">
        <f>SUMIFS(SX!X$2:X$19,SX!$B$2:$B$19,'chia CN SX'!$C10)</f>
        <v>0</v>
      </c>
      <c r="H10" s="419">
        <f>SUMIFS(SX!Y$2:Y$19,SX!$B$2:$B$19,'chia CN SX'!$C10)</f>
        <v>0</v>
      </c>
      <c r="I10" s="419">
        <f>SUMIFS(SX!Z$2:Z$19,SX!$B$2:$B$19,'chia CN SX'!$C10)</f>
        <v>240</v>
      </c>
      <c r="J10" s="419">
        <f>SUMIFS(SX!AA$2:AA$19,SX!$B$2:$B$19,'chia CN SX'!$C10)</f>
        <v>0</v>
      </c>
      <c r="K10" s="419">
        <f>SUMIFS(SX!AB$2:AB$19,SX!$B$2:$B$19,'chia CN SX'!$C10)</f>
        <v>0</v>
      </c>
      <c r="L10" s="419">
        <f>SUMIFS(SX!AC$2:AC$19,SX!$B$2:$B$19,'chia CN SX'!$C10)</f>
        <v>0</v>
      </c>
      <c r="M10" s="419">
        <f>SUMIFS(SX!AD$2:AD$19,SX!$B$2:$B$19,'chia CN SX'!$C10)</f>
        <v>0</v>
      </c>
      <c r="N10" s="419">
        <f>SUMIFS(SX!AE$2:AE$19,SX!$B$2:$B$19,'chia CN SX'!$C10)</f>
        <v>0</v>
      </c>
      <c r="O10" s="419">
        <f>SUMIFS(SX!AF$2:AF$19,SX!$B$2:$B$19,'chia CN SX'!$C10)</f>
        <v>0</v>
      </c>
      <c r="P10" s="419">
        <f>SUMIFS(SX!AG$2:AG$19,SX!$B$2:$B$19,'chia CN SX'!$C10)</f>
        <v>0</v>
      </c>
      <c r="Q10" s="419">
        <f>SUMIFS(SX!AH$2:AH$19,SX!$B$2:$B$19,'chia CN SX'!$C10)</f>
        <v>0</v>
      </c>
      <c r="R10" s="419">
        <f>SUMIFS(SX!AI$2:AI$19,SX!$B$2:$B$19,'chia CN SX'!$C10)</f>
        <v>0</v>
      </c>
      <c r="S10" s="419">
        <f>SUMIFS(SX!AJ$2:AJ$19,SX!$B$2:$B$19,'chia CN SX'!$C10)</f>
        <v>0</v>
      </c>
      <c r="V10" s="67" t="e">
        <f>'chia CN boc xe'!U10</f>
        <v>#REF!</v>
      </c>
      <c r="W10" s="69">
        <f t="shared" si="1"/>
        <v>0</v>
      </c>
      <c r="X10" s="69">
        <f t="shared" si="2"/>
        <v>0</v>
      </c>
      <c r="Y10" s="69">
        <f t="shared" si="3"/>
        <v>0</v>
      </c>
      <c r="Z10" s="69">
        <f t="shared" si="4"/>
        <v>0</v>
      </c>
      <c r="AA10" s="69">
        <f t="shared" si="5"/>
        <v>0</v>
      </c>
      <c r="AB10" s="69">
        <f t="shared" si="6"/>
        <v>0</v>
      </c>
      <c r="AC10" s="69">
        <f t="shared" si="7"/>
        <v>0</v>
      </c>
      <c r="AD10" s="69">
        <f t="shared" si="8"/>
        <v>0</v>
      </c>
      <c r="AE10" s="69">
        <f t="shared" si="9"/>
        <v>0</v>
      </c>
      <c r="AF10" s="69">
        <f t="shared" si="10"/>
        <v>0</v>
      </c>
      <c r="AG10" s="69">
        <f t="shared" si="11"/>
        <v>0</v>
      </c>
      <c r="AH10" s="69">
        <f t="shared" si="12"/>
        <v>0</v>
      </c>
      <c r="AI10" s="69">
        <f t="shared" si="13"/>
        <v>0</v>
      </c>
      <c r="AJ10" s="69">
        <f t="shared" si="14"/>
        <v>0</v>
      </c>
      <c r="AK10" s="69">
        <f t="shared" si="15"/>
        <v>0</v>
      </c>
    </row>
    <row r="11" spans="1:37" x14ac:dyDescent="0.25">
      <c r="A11" s="421">
        <f t="shared" si="16"/>
        <v>9</v>
      </c>
      <c r="B11" s="556" t="s">
        <v>715</v>
      </c>
      <c r="C11" s="421">
        <v>2</v>
      </c>
      <c r="D11" s="419">
        <f>SUMIFS(SX!U$2:U$19,SX!$B$2:$B$19,'chia CN SX'!$C11)</f>
        <v>0</v>
      </c>
      <c r="E11" s="419">
        <f>SUMIFS(SX!V$2:V$19,SX!$B$2:$B$19,'chia CN SX'!$C11)</f>
        <v>0</v>
      </c>
      <c r="F11" s="419">
        <f>SUMIFS(SX!W$2:W$19,SX!$B$2:$B$19,'chia CN SX'!$C11)</f>
        <v>0</v>
      </c>
      <c r="G11" s="419">
        <f>SUMIFS(SX!X$2:X$19,SX!$B$2:$B$19,'chia CN SX'!$C11)</f>
        <v>0</v>
      </c>
      <c r="H11" s="419">
        <f>SUMIFS(SX!Y$2:Y$19,SX!$B$2:$B$19,'chia CN SX'!$C11)</f>
        <v>0</v>
      </c>
      <c r="I11" s="419">
        <f>SUMIFS(SX!Z$2:Z$19,SX!$B$2:$B$19,'chia CN SX'!$C11)</f>
        <v>240</v>
      </c>
      <c r="J11" s="419">
        <f>SUMIFS(SX!AA$2:AA$19,SX!$B$2:$B$19,'chia CN SX'!$C11)</f>
        <v>0</v>
      </c>
      <c r="K11" s="419">
        <f>SUMIFS(SX!AB$2:AB$19,SX!$B$2:$B$19,'chia CN SX'!$C11)</f>
        <v>0</v>
      </c>
      <c r="L11" s="419">
        <f>SUMIFS(SX!AC$2:AC$19,SX!$B$2:$B$19,'chia CN SX'!$C11)</f>
        <v>0</v>
      </c>
      <c r="M11" s="419">
        <f>SUMIFS(SX!AD$2:AD$19,SX!$B$2:$B$19,'chia CN SX'!$C11)</f>
        <v>0</v>
      </c>
      <c r="N11" s="419">
        <f>SUMIFS(SX!AE$2:AE$19,SX!$B$2:$B$19,'chia CN SX'!$C11)</f>
        <v>0</v>
      </c>
      <c r="O11" s="419">
        <f>SUMIFS(SX!AF$2:AF$19,SX!$B$2:$B$19,'chia CN SX'!$C11)</f>
        <v>0</v>
      </c>
      <c r="P11" s="419">
        <f>SUMIFS(SX!AG$2:AG$19,SX!$B$2:$B$19,'chia CN SX'!$C11)</f>
        <v>0</v>
      </c>
      <c r="Q11" s="419">
        <f>SUMIFS(SX!AH$2:AH$19,SX!$B$2:$B$19,'chia CN SX'!$C11)</f>
        <v>0</v>
      </c>
      <c r="R11" s="419">
        <f>SUMIFS(SX!AI$2:AI$19,SX!$B$2:$B$19,'chia CN SX'!$C11)</f>
        <v>0</v>
      </c>
      <c r="S11" s="419">
        <f>SUMIFS(SX!AJ$2:AJ$19,SX!$B$2:$B$19,'chia CN SX'!$C11)</f>
        <v>0</v>
      </c>
      <c r="V11" s="67" t="str">
        <f>'chia CN boc xe'!U11</f>
        <v>Trần Thanh Hậu</v>
      </c>
      <c r="W11" s="69">
        <f t="shared" si="1"/>
        <v>0</v>
      </c>
      <c r="X11" s="69">
        <f t="shared" si="2"/>
        <v>0</v>
      </c>
      <c r="Y11" s="69">
        <f t="shared" si="3"/>
        <v>0</v>
      </c>
      <c r="Z11" s="69">
        <f t="shared" si="4"/>
        <v>0</v>
      </c>
      <c r="AA11" s="69">
        <f t="shared" si="5"/>
        <v>0</v>
      </c>
      <c r="AB11" s="69">
        <f t="shared" si="6"/>
        <v>0</v>
      </c>
      <c r="AC11" s="69">
        <f t="shared" si="7"/>
        <v>0</v>
      </c>
      <c r="AD11" s="69">
        <f t="shared" si="8"/>
        <v>0</v>
      </c>
      <c r="AE11" s="69">
        <f t="shared" si="9"/>
        <v>0</v>
      </c>
      <c r="AF11" s="69">
        <f t="shared" si="10"/>
        <v>0</v>
      </c>
      <c r="AG11" s="69">
        <f t="shared" si="11"/>
        <v>0</v>
      </c>
      <c r="AH11" s="69">
        <f t="shared" si="12"/>
        <v>0</v>
      </c>
      <c r="AI11" s="69">
        <f t="shared" si="13"/>
        <v>0</v>
      </c>
      <c r="AJ11" s="69">
        <f t="shared" si="14"/>
        <v>0</v>
      </c>
      <c r="AK11" s="69">
        <f t="shared" si="15"/>
        <v>0</v>
      </c>
    </row>
    <row r="12" spans="1:37" x14ac:dyDescent="0.25">
      <c r="A12" s="421">
        <f t="shared" si="16"/>
        <v>10</v>
      </c>
      <c r="B12" s="556" t="s">
        <v>716</v>
      </c>
      <c r="C12" s="421">
        <v>2</v>
      </c>
      <c r="D12" s="419">
        <f>SUMIFS(SX!U$2:U$19,SX!$B$2:$B$19,'chia CN SX'!$C12)</f>
        <v>0</v>
      </c>
      <c r="E12" s="419">
        <f>SUMIFS(SX!V$2:V$19,SX!$B$2:$B$19,'chia CN SX'!$C12)</f>
        <v>0</v>
      </c>
      <c r="F12" s="419">
        <f>SUMIFS(SX!W$2:W$19,SX!$B$2:$B$19,'chia CN SX'!$C12)</f>
        <v>0</v>
      </c>
      <c r="G12" s="419">
        <f>SUMIFS(SX!X$2:X$19,SX!$B$2:$B$19,'chia CN SX'!$C12)</f>
        <v>0</v>
      </c>
      <c r="H12" s="419">
        <f>SUMIFS(SX!Y$2:Y$19,SX!$B$2:$B$19,'chia CN SX'!$C12)</f>
        <v>0</v>
      </c>
      <c r="I12" s="419">
        <f>SUMIFS(SX!Z$2:Z$19,SX!$B$2:$B$19,'chia CN SX'!$C12)</f>
        <v>240</v>
      </c>
      <c r="J12" s="419">
        <f>SUMIFS(SX!AA$2:AA$19,SX!$B$2:$B$19,'chia CN SX'!$C12)</f>
        <v>0</v>
      </c>
      <c r="K12" s="419">
        <f>SUMIFS(SX!AB$2:AB$19,SX!$B$2:$B$19,'chia CN SX'!$C12)</f>
        <v>0</v>
      </c>
      <c r="L12" s="419">
        <f>SUMIFS(SX!AC$2:AC$19,SX!$B$2:$B$19,'chia CN SX'!$C12)</f>
        <v>0</v>
      </c>
      <c r="M12" s="419">
        <f>SUMIFS(SX!AD$2:AD$19,SX!$B$2:$B$19,'chia CN SX'!$C12)</f>
        <v>0</v>
      </c>
      <c r="N12" s="419">
        <f>SUMIFS(SX!AE$2:AE$19,SX!$B$2:$B$19,'chia CN SX'!$C12)</f>
        <v>0</v>
      </c>
      <c r="O12" s="419">
        <f>SUMIFS(SX!AF$2:AF$19,SX!$B$2:$B$19,'chia CN SX'!$C12)</f>
        <v>0</v>
      </c>
      <c r="P12" s="419">
        <f>SUMIFS(SX!AG$2:AG$19,SX!$B$2:$B$19,'chia CN SX'!$C12)</f>
        <v>0</v>
      </c>
      <c r="Q12" s="419">
        <f>SUMIFS(SX!AH$2:AH$19,SX!$B$2:$B$19,'chia CN SX'!$C12)</f>
        <v>0</v>
      </c>
      <c r="R12" s="419">
        <f>SUMIFS(SX!AI$2:AI$19,SX!$B$2:$B$19,'chia CN SX'!$C12)</f>
        <v>0</v>
      </c>
      <c r="S12" s="419">
        <f>SUMIFS(SX!AJ$2:AJ$19,SX!$B$2:$B$19,'chia CN SX'!$C12)</f>
        <v>0</v>
      </c>
      <c r="V12" s="67" t="e">
        <f>'chia CN boc xe'!U12</f>
        <v>#REF!</v>
      </c>
      <c r="W12" s="69">
        <f t="shared" si="1"/>
        <v>0</v>
      </c>
      <c r="X12" s="69">
        <f t="shared" si="2"/>
        <v>0</v>
      </c>
      <c r="Y12" s="69">
        <f t="shared" si="3"/>
        <v>0</v>
      </c>
      <c r="Z12" s="69">
        <f t="shared" si="4"/>
        <v>0</v>
      </c>
      <c r="AA12" s="69">
        <f t="shared" si="5"/>
        <v>0</v>
      </c>
      <c r="AB12" s="69">
        <f t="shared" si="6"/>
        <v>0</v>
      </c>
      <c r="AC12" s="69">
        <f t="shared" si="7"/>
        <v>0</v>
      </c>
      <c r="AD12" s="69">
        <f t="shared" si="8"/>
        <v>0</v>
      </c>
      <c r="AE12" s="69">
        <f t="shared" si="9"/>
        <v>0</v>
      </c>
      <c r="AF12" s="69">
        <f t="shared" si="10"/>
        <v>0</v>
      </c>
      <c r="AG12" s="69">
        <f t="shared" si="11"/>
        <v>0</v>
      </c>
      <c r="AH12" s="69">
        <f t="shared" si="12"/>
        <v>0</v>
      </c>
      <c r="AI12" s="69">
        <f t="shared" si="13"/>
        <v>0</v>
      </c>
      <c r="AJ12" s="69">
        <f t="shared" si="14"/>
        <v>0</v>
      </c>
      <c r="AK12" s="69">
        <f t="shared" si="15"/>
        <v>0</v>
      </c>
    </row>
    <row r="13" spans="1:37" x14ac:dyDescent="0.25">
      <c r="A13" s="421">
        <f t="shared" si="16"/>
        <v>11</v>
      </c>
      <c r="B13" s="556" t="s">
        <v>717</v>
      </c>
      <c r="C13" s="421">
        <v>2</v>
      </c>
      <c r="D13" s="419">
        <f>SUMIFS(SX!U$2:U$19,SX!$B$2:$B$19,'chia CN SX'!$C13)</f>
        <v>0</v>
      </c>
      <c r="E13" s="419">
        <f>SUMIFS(SX!V$2:V$19,SX!$B$2:$B$19,'chia CN SX'!$C13)</f>
        <v>0</v>
      </c>
      <c r="F13" s="419">
        <f>SUMIFS(SX!W$2:W$19,SX!$B$2:$B$19,'chia CN SX'!$C13)</f>
        <v>0</v>
      </c>
      <c r="G13" s="419">
        <f>SUMIFS(SX!X$2:X$19,SX!$B$2:$B$19,'chia CN SX'!$C13)</f>
        <v>0</v>
      </c>
      <c r="H13" s="419">
        <f>SUMIFS(SX!Y$2:Y$19,SX!$B$2:$B$19,'chia CN SX'!$C13)</f>
        <v>0</v>
      </c>
      <c r="I13" s="419">
        <f>SUMIFS(SX!Z$2:Z$19,SX!$B$2:$B$19,'chia CN SX'!$C13)</f>
        <v>240</v>
      </c>
      <c r="J13" s="419">
        <f>SUMIFS(SX!AA$2:AA$19,SX!$B$2:$B$19,'chia CN SX'!$C13)</f>
        <v>0</v>
      </c>
      <c r="K13" s="419">
        <f>SUMIFS(SX!AB$2:AB$19,SX!$B$2:$B$19,'chia CN SX'!$C13)</f>
        <v>0</v>
      </c>
      <c r="L13" s="419">
        <f>SUMIFS(SX!AC$2:AC$19,SX!$B$2:$B$19,'chia CN SX'!$C13)</f>
        <v>0</v>
      </c>
      <c r="M13" s="419">
        <f>SUMIFS(SX!AD$2:AD$19,SX!$B$2:$B$19,'chia CN SX'!$C13)</f>
        <v>0</v>
      </c>
      <c r="N13" s="419">
        <f>SUMIFS(SX!AE$2:AE$19,SX!$B$2:$B$19,'chia CN SX'!$C13)</f>
        <v>0</v>
      </c>
      <c r="O13" s="419">
        <f>SUMIFS(SX!AF$2:AF$19,SX!$B$2:$B$19,'chia CN SX'!$C13)</f>
        <v>0</v>
      </c>
      <c r="P13" s="419">
        <f>SUMIFS(SX!AG$2:AG$19,SX!$B$2:$B$19,'chia CN SX'!$C13)</f>
        <v>0</v>
      </c>
      <c r="Q13" s="419">
        <f>SUMIFS(SX!AH$2:AH$19,SX!$B$2:$B$19,'chia CN SX'!$C13)</f>
        <v>0</v>
      </c>
      <c r="R13" s="419">
        <f>SUMIFS(SX!AI$2:AI$19,SX!$B$2:$B$19,'chia CN SX'!$C13)</f>
        <v>0</v>
      </c>
      <c r="S13" s="419">
        <f>SUMIFS(SX!AJ$2:AJ$19,SX!$B$2:$B$19,'chia CN SX'!$C13)</f>
        <v>0</v>
      </c>
      <c r="V13" s="67" t="str">
        <f>'chia CN boc xe'!U13</f>
        <v>Châu Thành Nhân</v>
      </c>
      <c r="W13" s="69">
        <f t="shared" si="1"/>
        <v>0</v>
      </c>
      <c r="X13" s="69">
        <f t="shared" si="2"/>
        <v>0</v>
      </c>
      <c r="Y13" s="69">
        <f t="shared" si="3"/>
        <v>0</v>
      </c>
      <c r="Z13" s="69">
        <f t="shared" si="4"/>
        <v>0</v>
      </c>
      <c r="AA13" s="69">
        <f t="shared" si="5"/>
        <v>0</v>
      </c>
      <c r="AB13" s="69">
        <f t="shared" si="6"/>
        <v>0</v>
      </c>
      <c r="AC13" s="69">
        <f t="shared" si="7"/>
        <v>0</v>
      </c>
      <c r="AD13" s="69">
        <f t="shared" si="8"/>
        <v>0</v>
      </c>
      <c r="AE13" s="69">
        <f t="shared" si="9"/>
        <v>0</v>
      </c>
      <c r="AF13" s="69">
        <f t="shared" si="10"/>
        <v>0</v>
      </c>
      <c r="AG13" s="69">
        <f t="shared" si="11"/>
        <v>0</v>
      </c>
      <c r="AH13" s="69">
        <f t="shared" si="12"/>
        <v>0</v>
      </c>
      <c r="AI13" s="69">
        <f t="shared" si="13"/>
        <v>0</v>
      </c>
      <c r="AJ13" s="69">
        <f t="shared" si="14"/>
        <v>0</v>
      </c>
      <c r="AK13" s="69">
        <f t="shared" si="15"/>
        <v>0</v>
      </c>
    </row>
    <row r="14" spans="1:37" x14ac:dyDescent="0.25">
      <c r="A14" s="421">
        <f t="shared" si="16"/>
        <v>12</v>
      </c>
      <c r="B14" s="556" t="s">
        <v>753</v>
      </c>
      <c r="C14" s="421">
        <v>2</v>
      </c>
      <c r="D14" s="419">
        <f>SUMIFS(SX!U$2:U$19,SX!$B$2:$B$19,'chia CN SX'!$C14)</f>
        <v>0</v>
      </c>
      <c r="E14" s="419">
        <f>SUMIFS(SX!V$2:V$19,SX!$B$2:$B$19,'chia CN SX'!$C14)</f>
        <v>0</v>
      </c>
      <c r="F14" s="419">
        <f>SUMIFS(SX!W$2:W$19,SX!$B$2:$B$19,'chia CN SX'!$C14)</f>
        <v>0</v>
      </c>
      <c r="G14" s="419">
        <f>SUMIFS(SX!X$2:X$19,SX!$B$2:$B$19,'chia CN SX'!$C14)</f>
        <v>0</v>
      </c>
      <c r="H14" s="419">
        <f>SUMIFS(SX!Y$2:Y$19,SX!$B$2:$B$19,'chia CN SX'!$C14)</f>
        <v>0</v>
      </c>
      <c r="I14" s="419">
        <f>SUMIFS(SX!Z$2:Z$19,SX!$B$2:$B$19,'chia CN SX'!$C14)</f>
        <v>240</v>
      </c>
      <c r="J14" s="419">
        <f>SUMIFS(SX!AA$2:AA$19,SX!$B$2:$B$19,'chia CN SX'!$C14)</f>
        <v>0</v>
      </c>
      <c r="K14" s="419">
        <f>SUMIFS(SX!AB$2:AB$19,SX!$B$2:$B$19,'chia CN SX'!$C14)</f>
        <v>0</v>
      </c>
      <c r="L14" s="419">
        <f>SUMIFS(SX!AC$2:AC$19,SX!$B$2:$B$19,'chia CN SX'!$C14)</f>
        <v>0</v>
      </c>
      <c r="M14" s="419">
        <f>SUMIFS(SX!AD$2:AD$19,SX!$B$2:$B$19,'chia CN SX'!$C14)</f>
        <v>0</v>
      </c>
      <c r="N14" s="419">
        <f>SUMIFS(SX!AE$2:AE$19,SX!$B$2:$B$19,'chia CN SX'!$C14)</f>
        <v>0</v>
      </c>
      <c r="O14" s="419">
        <f>SUMIFS(SX!AF$2:AF$19,SX!$B$2:$B$19,'chia CN SX'!$C14)</f>
        <v>0</v>
      </c>
      <c r="P14" s="419">
        <f>SUMIFS(SX!AG$2:AG$19,SX!$B$2:$B$19,'chia CN SX'!$C14)</f>
        <v>0</v>
      </c>
      <c r="Q14" s="419">
        <f>SUMIFS(SX!AH$2:AH$19,SX!$B$2:$B$19,'chia CN SX'!$C14)</f>
        <v>0</v>
      </c>
      <c r="R14" s="419">
        <f>SUMIFS(SX!AI$2:AI$19,SX!$B$2:$B$19,'chia CN SX'!$C14)</f>
        <v>0</v>
      </c>
      <c r="S14" s="419">
        <f>SUMIFS(SX!AJ$2:AJ$19,SX!$B$2:$B$19,'chia CN SX'!$C14)</f>
        <v>0</v>
      </c>
      <c r="V14" s="67" t="str">
        <f>'chia CN boc xe'!U14</f>
        <v>Nguyễn Văn Chạy</v>
      </c>
      <c r="W14" s="69">
        <f t="shared" si="1"/>
        <v>0</v>
      </c>
      <c r="X14" s="69">
        <f t="shared" si="2"/>
        <v>0</v>
      </c>
      <c r="Y14" s="69">
        <f t="shared" si="3"/>
        <v>0</v>
      </c>
      <c r="Z14" s="69">
        <f t="shared" si="4"/>
        <v>0</v>
      </c>
      <c r="AA14" s="69">
        <f t="shared" si="5"/>
        <v>0</v>
      </c>
      <c r="AB14" s="69">
        <f t="shared" si="6"/>
        <v>0</v>
      </c>
      <c r="AC14" s="69">
        <f t="shared" si="7"/>
        <v>0</v>
      </c>
      <c r="AD14" s="69">
        <f t="shared" si="8"/>
        <v>0</v>
      </c>
      <c r="AE14" s="69">
        <f t="shared" si="9"/>
        <v>0</v>
      </c>
      <c r="AF14" s="69">
        <f t="shared" si="10"/>
        <v>0</v>
      </c>
      <c r="AG14" s="69">
        <f t="shared" si="11"/>
        <v>0</v>
      </c>
      <c r="AH14" s="69">
        <f t="shared" si="12"/>
        <v>0</v>
      </c>
      <c r="AI14" s="69">
        <f t="shared" si="13"/>
        <v>0</v>
      </c>
      <c r="AJ14" s="69">
        <f t="shared" si="14"/>
        <v>0</v>
      </c>
      <c r="AK14" s="69">
        <f t="shared" si="15"/>
        <v>0</v>
      </c>
    </row>
    <row r="15" spans="1:37" x14ac:dyDescent="0.25">
      <c r="A15" s="421">
        <f t="shared" si="16"/>
        <v>13</v>
      </c>
      <c r="B15" s="556" t="s">
        <v>84</v>
      </c>
      <c r="C15" s="421">
        <v>3</v>
      </c>
      <c r="D15" s="419">
        <f>SUMIFS(SX!U$2:U$19,SX!$B$2:$B$19,'chia CN SX'!$C15)</f>
        <v>0</v>
      </c>
      <c r="E15" s="419">
        <f>SUMIFS(SX!V$2:V$19,SX!$B$2:$B$19,'chia CN SX'!$C15)</f>
        <v>0</v>
      </c>
      <c r="F15" s="419">
        <f>SUMIFS(SX!W$2:W$19,SX!$B$2:$B$19,'chia CN SX'!$C15)</f>
        <v>0</v>
      </c>
      <c r="G15" s="419">
        <f>SUMIFS(SX!X$2:X$19,SX!$B$2:$B$19,'chia CN SX'!$C15)</f>
        <v>0</v>
      </c>
      <c r="H15" s="419">
        <f>SUMIFS(SX!Y$2:Y$19,SX!$B$2:$B$19,'chia CN SX'!$C15)</f>
        <v>0</v>
      </c>
      <c r="I15" s="419">
        <f>SUMIFS(SX!Z$2:Z$19,SX!$B$2:$B$19,'chia CN SX'!$C15)</f>
        <v>240</v>
      </c>
      <c r="J15" s="419">
        <f>SUMIFS(SX!AA$2:AA$19,SX!$B$2:$B$19,'chia CN SX'!$C15)</f>
        <v>0</v>
      </c>
      <c r="K15" s="419">
        <f>SUMIFS(SX!AB$2:AB$19,SX!$B$2:$B$19,'chia CN SX'!$C15)</f>
        <v>0</v>
      </c>
      <c r="L15" s="419">
        <f>SUMIFS(SX!AC$2:AC$19,SX!$B$2:$B$19,'chia CN SX'!$C15)</f>
        <v>0</v>
      </c>
      <c r="M15" s="419">
        <f>SUMIFS(SX!AD$2:AD$19,SX!$B$2:$B$19,'chia CN SX'!$C15)</f>
        <v>0</v>
      </c>
      <c r="N15" s="419">
        <f>SUMIFS(SX!AE$2:AE$19,SX!$B$2:$B$19,'chia CN SX'!$C15)</f>
        <v>0</v>
      </c>
      <c r="O15" s="419">
        <f>SUMIFS(SX!AF$2:AF$19,SX!$B$2:$B$19,'chia CN SX'!$C15)</f>
        <v>0</v>
      </c>
      <c r="P15" s="419">
        <f>SUMIFS(SX!AG$2:AG$19,SX!$B$2:$B$19,'chia CN SX'!$C15)</f>
        <v>0</v>
      </c>
      <c r="Q15" s="419">
        <f>SUMIFS(SX!AH$2:AH$19,SX!$B$2:$B$19,'chia CN SX'!$C15)</f>
        <v>0</v>
      </c>
      <c r="R15" s="419">
        <f>SUMIFS(SX!AI$2:AI$19,SX!$B$2:$B$19,'chia CN SX'!$C15)</f>
        <v>0</v>
      </c>
      <c r="S15" s="419">
        <f>SUMIFS(SX!AJ$2:AJ$19,SX!$B$2:$B$19,'chia CN SX'!$C15)</f>
        <v>0</v>
      </c>
      <c r="V15" s="67" t="str">
        <f>'chia CN boc xe'!U15</f>
        <v>Hà Hoàng Hùng</v>
      </c>
      <c r="W15" s="69">
        <f t="shared" si="1"/>
        <v>0</v>
      </c>
      <c r="X15" s="69">
        <f t="shared" si="2"/>
        <v>0</v>
      </c>
      <c r="Y15" s="69">
        <f t="shared" si="3"/>
        <v>0</v>
      </c>
      <c r="Z15" s="69">
        <f t="shared" si="4"/>
        <v>0</v>
      </c>
      <c r="AA15" s="69">
        <f t="shared" si="5"/>
        <v>0</v>
      </c>
      <c r="AB15" s="69">
        <f t="shared" si="6"/>
        <v>0</v>
      </c>
      <c r="AC15" s="69">
        <f t="shared" si="7"/>
        <v>0</v>
      </c>
      <c r="AD15" s="69">
        <f t="shared" si="8"/>
        <v>0</v>
      </c>
      <c r="AE15" s="69">
        <f t="shared" si="9"/>
        <v>0</v>
      </c>
      <c r="AF15" s="69">
        <f t="shared" si="10"/>
        <v>0</v>
      </c>
      <c r="AG15" s="69">
        <f t="shared" si="11"/>
        <v>0</v>
      </c>
      <c r="AH15" s="69">
        <f t="shared" si="12"/>
        <v>0</v>
      </c>
      <c r="AI15" s="69">
        <f t="shared" si="13"/>
        <v>0</v>
      </c>
      <c r="AJ15" s="69">
        <f t="shared" si="14"/>
        <v>0</v>
      </c>
      <c r="AK15" s="69">
        <f t="shared" si="15"/>
        <v>0</v>
      </c>
    </row>
    <row r="16" spans="1:37" x14ac:dyDescent="0.25">
      <c r="A16" s="421">
        <f t="shared" si="16"/>
        <v>14</v>
      </c>
      <c r="B16" s="556" t="s">
        <v>578</v>
      </c>
      <c r="C16" s="421">
        <v>3</v>
      </c>
      <c r="D16" s="419">
        <f>SUMIFS(SX!U$2:U$19,SX!$B$2:$B$19,'chia CN SX'!$C16)</f>
        <v>0</v>
      </c>
      <c r="E16" s="419">
        <f>SUMIFS(SX!V$2:V$19,SX!$B$2:$B$19,'chia CN SX'!$C16)</f>
        <v>0</v>
      </c>
      <c r="F16" s="419">
        <f>SUMIFS(SX!W$2:W$19,SX!$B$2:$B$19,'chia CN SX'!$C16)</f>
        <v>0</v>
      </c>
      <c r="G16" s="419">
        <f>SUMIFS(SX!X$2:X$19,SX!$B$2:$B$19,'chia CN SX'!$C16)</f>
        <v>0</v>
      </c>
      <c r="H16" s="419">
        <f>SUMIFS(SX!Y$2:Y$19,SX!$B$2:$B$19,'chia CN SX'!$C16)</f>
        <v>0</v>
      </c>
      <c r="I16" s="419">
        <f>SUMIFS(SX!Z$2:Z$19,SX!$B$2:$B$19,'chia CN SX'!$C16)</f>
        <v>240</v>
      </c>
      <c r="J16" s="419">
        <f>SUMIFS(SX!AA$2:AA$19,SX!$B$2:$B$19,'chia CN SX'!$C16)</f>
        <v>0</v>
      </c>
      <c r="K16" s="419">
        <f>SUMIFS(SX!AB$2:AB$19,SX!$B$2:$B$19,'chia CN SX'!$C16)</f>
        <v>0</v>
      </c>
      <c r="L16" s="419">
        <f>SUMIFS(SX!AC$2:AC$19,SX!$B$2:$B$19,'chia CN SX'!$C16)</f>
        <v>0</v>
      </c>
      <c r="M16" s="419">
        <f>SUMIFS(SX!AD$2:AD$19,SX!$B$2:$B$19,'chia CN SX'!$C16)</f>
        <v>0</v>
      </c>
      <c r="N16" s="419">
        <f>SUMIFS(SX!AE$2:AE$19,SX!$B$2:$B$19,'chia CN SX'!$C16)</f>
        <v>0</v>
      </c>
      <c r="O16" s="419">
        <f>SUMIFS(SX!AF$2:AF$19,SX!$B$2:$B$19,'chia CN SX'!$C16)</f>
        <v>0</v>
      </c>
      <c r="P16" s="419">
        <f>SUMIFS(SX!AG$2:AG$19,SX!$B$2:$B$19,'chia CN SX'!$C16)</f>
        <v>0</v>
      </c>
      <c r="Q16" s="419">
        <f>SUMIFS(SX!AH$2:AH$19,SX!$B$2:$B$19,'chia CN SX'!$C16)</f>
        <v>0</v>
      </c>
      <c r="R16" s="419">
        <f>SUMIFS(SX!AI$2:AI$19,SX!$B$2:$B$19,'chia CN SX'!$C16)</f>
        <v>0</v>
      </c>
      <c r="S16" s="419">
        <f>SUMIFS(SX!AJ$2:AJ$19,SX!$B$2:$B$19,'chia CN SX'!$C16)</f>
        <v>0</v>
      </c>
      <c r="V16" s="67" t="e">
        <f>'chia CN boc xe'!U16</f>
        <v>#REF!</v>
      </c>
      <c r="W16" s="69">
        <f t="shared" si="1"/>
        <v>0</v>
      </c>
      <c r="X16" s="69">
        <f t="shared" si="2"/>
        <v>0</v>
      </c>
      <c r="Y16" s="69">
        <f t="shared" si="3"/>
        <v>0</v>
      </c>
      <c r="Z16" s="69">
        <f t="shared" si="4"/>
        <v>0</v>
      </c>
      <c r="AA16" s="69">
        <f t="shared" si="5"/>
        <v>0</v>
      </c>
      <c r="AB16" s="69">
        <f t="shared" si="6"/>
        <v>0</v>
      </c>
      <c r="AC16" s="69">
        <f t="shared" si="7"/>
        <v>0</v>
      </c>
      <c r="AD16" s="69">
        <f t="shared" si="8"/>
        <v>0</v>
      </c>
      <c r="AE16" s="69">
        <f t="shared" si="9"/>
        <v>0</v>
      </c>
      <c r="AF16" s="69">
        <f t="shared" si="10"/>
        <v>0</v>
      </c>
      <c r="AG16" s="69">
        <f t="shared" si="11"/>
        <v>0</v>
      </c>
      <c r="AH16" s="69">
        <f t="shared" si="12"/>
        <v>0</v>
      </c>
      <c r="AI16" s="69">
        <f t="shared" si="13"/>
        <v>0</v>
      </c>
      <c r="AJ16" s="69">
        <f t="shared" si="14"/>
        <v>0</v>
      </c>
      <c r="AK16" s="69">
        <f t="shared" si="15"/>
        <v>0</v>
      </c>
    </row>
    <row r="17" spans="1:37" x14ac:dyDescent="0.25">
      <c r="A17" s="421">
        <f t="shared" si="16"/>
        <v>15</v>
      </c>
      <c r="B17" s="556" t="s">
        <v>622</v>
      </c>
      <c r="C17" s="421">
        <v>3</v>
      </c>
      <c r="D17" s="419">
        <f>SUMIFS(SX!U$2:U$19,SX!$B$2:$B$19,'chia CN SX'!$C17)</f>
        <v>0</v>
      </c>
      <c r="E17" s="419">
        <f>SUMIFS(SX!V$2:V$19,SX!$B$2:$B$19,'chia CN SX'!$C17)</f>
        <v>0</v>
      </c>
      <c r="F17" s="419">
        <f>SUMIFS(SX!W$2:W$19,SX!$B$2:$B$19,'chia CN SX'!$C17)</f>
        <v>0</v>
      </c>
      <c r="G17" s="419">
        <f>SUMIFS(SX!X$2:X$19,SX!$B$2:$B$19,'chia CN SX'!$C17)</f>
        <v>0</v>
      </c>
      <c r="H17" s="419">
        <f>SUMIFS(SX!Y$2:Y$19,SX!$B$2:$B$19,'chia CN SX'!$C17)</f>
        <v>0</v>
      </c>
      <c r="I17" s="419">
        <f>SUMIFS(SX!Z$2:Z$19,SX!$B$2:$B$19,'chia CN SX'!$C17)</f>
        <v>240</v>
      </c>
      <c r="J17" s="419">
        <f>SUMIFS(SX!AA$2:AA$19,SX!$B$2:$B$19,'chia CN SX'!$C17)</f>
        <v>0</v>
      </c>
      <c r="K17" s="419">
        <f>SUMIFS(SX!AB$2:AB$19,SX!$B$2:$B$19,'chia CN SX'!$C17)</f>
        <v>0</v>
      </c>
      <c r="L17" s="419">
        <f>SUMIFS(SX!AC$2:AC$19,SX!$B$2:$B$19,'chia CN SX'!$C17)</f>
        <v>0</v>
      </c>
      <c r="M17" s="419">
        <f>SUMIFS(SX!AD$2:AD$19,SX!$B$2:$B$19,'chia CN SX'!$C17)</f>
        <v>0</v>
      </c>
      <c r="N17" s="419">
        <f>SUMIFS(SX!AE$2:AE$19,SX!$B$2:$B$19,'chia CN SX'!$C17)</f>
        <v>0</v>
      </c>
      <c r="O17" s="419">
        <f>SUMIFS(SX!AF$2:AF$19,SX!$B$2:$B$19,'chia CN SX'!$C17)</f>
        <v>0</v>
      </c>
      <c r="P17" s="419">
        <f>SUMIFS(SX!AG$2:AG$19,SX!$B$2:$B$19,'chia CN SX'!$C17)</f>
        <v>0</v>
      </c>
      <c r="Q17" s="419">
        <f>SUMIFS(SX!AH$2:AH$19,SX!$B$2:$B$19,'chia CN SX'!$C17)</f>
        <v>0</v>
      </c>
      <c r="R17" s="419">
        <f>SUMIFS(SX!AI$2:AI$19,SX!$B$2:$B$19,'chia CN SX'!$C17)</f>
        <v>0</v>
      </c>
      <c r="S17" s="419">
        <f>SUMIFS(SX!AJ$2:AJ$19,SX!$B$2:$B$19,'chia CN SX'!$C17)</f>
        <v>0</v>
      </c>
      <c r="V17" s="67" t="str">
        <f>'chia CN boc xe'!U17</f>
        <v>Châu Văn Phước</v>
      </c>
      <c r="W17" s="69">
        <f t="shared" si="1"/>
        <v>0</v>
      </c>
      <c r="X17" s="69">
        <f t="shared" si="2"/>
        <v>0</v>
      </c>
      <c r="Y17" s="69">
        <f t="shared" si="3"/>
        <v>0</v>
      </c>
      <c r="Z17" s="69">
        <f t="shared" si="4"/>
        <v>0</v>
      </c>
      <c r="AA17" s="69">
        <f t="shared" si="5"/>
        <v>0</v>
      </c>
      <c r="AB17" s="69">
        <f t="shared" si="6"/>
        <v>0</v>
      </c>
      <c r="AC17" s="69">
        <f t="shared" si="7"/>
        <v>0</v>
      </c>
      <c r="AD17" s="69">
        <f t="shared" si="8"/>
        <v>0</v>
      </c>
      <c r="AE17" s="69">
        <f t="shared" si="9"/>
        <v>0</v>
      </c>
      <c r="AF17" s="69">
        <f t="shared" si="10"/>
        <v>0</v>
      </c>
      <c r="AG17" s="69">
        <f t="shared" si="11"/>
        <v>0</v>
      </c>
      <c r="AH17" s="69">
        <f t="shared" si="12"/>
        <v>0</v>
      </c>
      <c r="AI17" s="69">
        <f t="shared" si="13"/>
        <v>0</v>
      </c>
      <c r="AJ17" s="69">
        <f t="shared" si="14"/>
        <v>0</v>
      </c>
      <c r="AK17" s="69">
        <f t="shared" si="15"/>
        <v>0</v>
      </c>
    </row>
    <row r="18" spans="1:37" x14ac:dyDescent="0.25">
      <c r="A18" s="421">
        <f t="shared" si="16"/>
        <v>16</v>
      </c>
      <c r="B18" s="556" t="s">
        <v>752</v>
      </c>
      <c r="C18" s="421">
        <v>3</v>
      </c>
      <c r="D18" s="419">
        <f>SUMIFS(SX!U$2:U$19,SX!$B$2:$B$19,'chia CN SX'!$C18)</f>
        <v>0</v>
      </c>
      <c r="E18" s="419">
        <f>SUMIFS(SX!V$2:V$19,SX!$B$2:$B$19,'chia CN SX'!$C18)</f>
        <v>0</v>
      </c>
      <c r="F18" s="419">
        <f>SUMIFS(SX!W$2:W$19,SX!$B$2:$B$19,'chia CN SX'!$C18)</f>
        <v>0</v>
      </c>
      <c r="G18" s="419">
        <f>SUMIFS(SX!X$2:X$19,SX!$B$2:$B$19,'chia CN SX'!$C18)</f>
        <v>0</v>
      </c>
      <c r="H18" s="419">
        <f>SUMIFS(SX!Y$2:Y$19,SX!$B$2:$B$19,'chia CN SX'!$C18)</f>
        <v>0</v>
      </c>
      <c r="I18" s="419">
        <f>SUMIFS(SX!Z$2:Z$19,SX!$B$2:$B$19,'chia CN SX'!$C18)</f>
        <v>240</v>
      </c>
      <c r="J18" s="419">
        <f>SUMIFS(SX!AA$2:AA$19,SX!$B$2:$B$19,'chia CN SX'!$C18)</f>
        <v>0</v>
      </c>
      <c r="K18" s="419">
        <f>SUMIFS(SX!AB$2:AB$19,SX!$B$2:$B$19,'chia CN SX'!$C18)</f>
        <v>0</v>
      </c>
      <c r="L18" s="419">
        <f>SUMIFS(SX!AC$2:AC$19,SX!$B$2:$B$19,'chia CN SX'!$C18)</f>
        <v>0</v>
      </c>
      <c r="M18" s="419">
        <f>SUMIFS(SX!AD$2:AD$19,SX!$B$2:$B$19,'chia CN SX'!$C18)</f>
        <v>0</v>
      </c>
      <c r="N18" s="419">
        <f>SUMIFS(SX!AE$2:AE$19,SX!$B$2:$B$19,'chia CN SX'!$C18)</f>
        <v>0</v>
      </c>
      <c r="O18" s="419">
        <f>SUMIFS(SX!AF$2:AF$19,SX!$B$2:$B$19,'chia CN SX'!$C18)</f>
        <v>0</v>
      </c>
      <c r="P18" s="419">
        <f>SUMIFS(SX!AG$2:AG$19,SX!$B$2:$B$19,'chia CN SX'!$C18)</f>
        <v>0</v>
      </c>
      <c r="Q18" s="419">
        <f>SUMIFS(SX!AH$2:AH$19,SX!$B$2:$B$19,'chia CN SX'!$C18)</f>
        <v>0</v>
      </c>
      <c r="R18" s="419">
        <f>SUMIFS(SX!AI$2:AI$19,SX!$B$2:$B$19,'chia CN SX'!$C18)</f>
        <v>0</v>
      </c>
      <c r="S18" s="419">
        <f>SUMIFS(SX!AJ$2:AJ$19,SX!$B$2:$B$19,'chia CN SX'!$C18)</f>
        <v>0</v>
      </c>
      <c r="V18" s="544" t="e">
        <f>'chia CN boc xe'!U18</f>
        <v>#REF!</v>
      </c>
      <c r="W18" s="81">
        <f>SUMIF($B$3:$B$114,$V18,D$3:D$114)</f>
        <v>0</v>
      </c>
      <c r="X18" s="81">
        <f t="shared" ref="X18:AK18" si="17">SUMIF($B$3:$B$114,$V18,E$3:E$114)</f>
        <v>0</v>
      </c>
      <c r="Y18" s="81">
        <f t="shared" si="17"/>
        <v>0</v>
      </c>
      <c r="Z18" s="81">
        <f t="shared" si="17"/>
        <v>0</v>
      </c>
      <c r="AA18" s="81">
        <f t="shared" si="17"/>
        <v>0</v>
      </c>
      <c r="AB18" s="81">
        <f t="shared" si="17"/>
        <v>0</v>
      </c>
      <c r="AC18" s="81">
        <f t="shared" si="17"/>
        <v>0</v>
      </c>
      <c r="AD18" s="81">
        <f t="shared" si="17"/>
        <v>0</v>
      </c>
      <c r="AE18" s="81">
        <f t="shared" si="17"/>
        <v>0</v>
      </c>
      <c r="AF18" s="81">
        <f t="shared" si="17"/>
        <v>0</v>
      </c>
      <c r="AG18" s="81">
        <f t="shared" si="17"/>
        <v>0</v>
      </c>
      <c r="AH18" s="81">
        <f t="shared" si="17"/>
        <v>0</v>
      </c>
      <c r="AI18" s="81">
        <f t="shared" si="17"/>
        <v>0</v>
      </c>
      <c r="AJ18" s="81">
        <f t="shared" si="17"/>
        <v>0</v>
      </c>
      <c r="AK18" s="81">
        <f t="shared" si="17"/>
        <v>0</v>
      </c>
    </row>
    <row r="19" spans="1:37" x14ac:dyDescent="0.25">
      <c r="A19" s="421">
        <f t="shared" si="16"/>
        <v>17</v>
      </c>
      <c r="B19" s="331" t="s">
        <v>755</v>
      </c>
      <c r="C19" s="421">
        <v>3</v>
      </c>
      <c r="D19" s="419">
        <f>SUMIFS(SX!U$2:U$19,SX!$B$2:$B$19,'chia CN SX'!$C19)</f>
        <v>0</v>
      </c>
      <c r="E19" s="419">
        <f>SUMIFS(SX!V$2:V$19,SX!$B$2:$B$19,'chia CN SX'!$C19)</f>
        <v>0</v>
      </c>
      <c r="F19" s="419">
        <f>SUMIFS(SX!W$2:W$19,SX!$B$2:$B$19,'chia CN SX'!$C19)</f>
        <v>0</v>
      </c>
      <c r="G19" s="419">
        <f>SUMIFS(SX!X$2:X$19,SX!$B$2:$B$19,'chia CN SX'!$C19)</f>
        <v>0</v>
      </c>
      <c r="H19" s="419">
        <f>SUMIFS(SX!Y$2:Y$19,SX!$B$2:$B$19,'chia CN SX'!$C19)</f>
        <v>0</v>
      </c>
      <c r="I19" s="419">
        <f>SUMIFS(SX!Z$2:Z$19,SX!$B$2:$B$19,'chia CN SX'!$C19)</f>
        <v>240</v>
      </c>
      <c r="J19" s="419">
        <f>SUMIFS(SX!AA$2:AA$19,SX!$B$2:$B$19,'chia CN SX'!$C19)</f>
        <v>0</v>
      </c>
      <c r="K19" s="419">
        <f>SUMIFS(SX!AB$2:AB$19,SX!$B$2:$B$19,'chia CN SX'!$C19)</f>
        <v>0</v>
      </c>
      <c r="L19" s="419">
        <f>SUMIFS(SX!AC$2:AC$19,SX!$B$2:$B$19,'chia CN SX'!$C19)</f>
        <v>0</v>
      </c>
      <c r="M19" s="419">
        <f>SUMIFS(SX!AD$2:AD$19,SX!$B$2:$B$19,'chia CN SX'!$C19)</f>
        <v>0</v>
      </c>
      <c r="N19" s="419">
        <f>SUMIFS(SX!AE$2:AE$19,SX!$B$2:$B$19,'chia CN SX'!$C19)</f>
        <v>0</v>
      </c>
      <c r="O19" s="419">
        <f>SUMIFS(SX!AF$2:AF$19,SX!$B$2:$B$19,'chia CN SX'!$C19)</f>
        <v>0</v>
      </c>
      <c r="P19" s="419">
        <f>SUMIFS(SX!AG$2:AG$19,SX!$B$2:$B$19,'chia CN SX'!$C19)</f>
        <v>0</v>
      </c>
      <c r="Q19" s="419">
        <f>SUMIFS(SX!AH$2:AH$19,SX!$B$2:$B$19,'chia CN SX'!$C19)</f>
        <v>0</v>
      </c>
      <c r="R19" s="419">
        <f>SUMIFS(SX!AI$2:AI$19,SX!$B$2:$B$19,'chia CN SX'!$C19)</f>
        <v>0</v>
      </c>
      <c r="S19" s="419">
        <f>SUMIFS(SX!AJ$2:AJ$19,SX!$B$2:$B$19,'chia CN SX'!$C19)</f>
        <v>0</v>
      </c>
      <c r="V19" s="543" t="e">
        <f>'chia CN boc xe'!U19</f>
        <v>#REF!</v>
      </c>
      <c r="W19" s="81">
        <f t="shared" ref="W19:W33" si="18">SUMIF($B$3:$B$114,$V19,D$3:D$114)</f>
        <v>0</v>
      </c>
      <c r="X19" s="81">
        <f t="shared" ref="X19:X34" si="19">SUMIF($B$3:$B$114,$V19,E$3:E$114)</f>
        <v>0</v>
      </c>
      <c r="Y19" s="81">
        <f t="shared" ref="Y19:Y34" si="20">SUMIF($B$3:$B$114,$V19,F$3:F$114)</f>
        <v>0</v>
      </c>
      <c r="Z19" s="81">
        <f t="shared" ref="Z19:Z34" si="21">SUMIF($B$3:$B$114,$V19,G$3:G$114)</f>
        <v>0</v>
      </c>
      <c r="AA19" s="81">
        <f t="shared" ref="AA19:AA34" si="22">SUMIF($B$3:$B$114,$V19,H$3:H$114)</f>
        <v>0</v>
      </c>
      <c r="AB19" s="81">
        <f t="shared" ref="AB19:AB34" si="23">SUMIF($B$3:$B$114,$V19,I$3:I$114)</f>
        <v>0</v>
      </c>
      <c r="AC19" s="81">
        <f t="shared" ref="AC19:AC34" si="24">SUMIF($B$3:$B$114,$V19,J$3:J$114)</f>
        <v>0</v>
      </c>
      <c r="AD19" s="81">
        <f t="shared" ref="AD19:AD34" si="25">SUMIF($B$3:$B$114,$V19,K$3:K$114)</f>
        <v>0</v>
      </c>
      <c r="AE19" s="81">
        <f t="shared" ref="AE19:AE34" si="26">SUMIF($B$3:$B$114,$V19,L$3:L$114)</f>
        <v>0</v>
      </c>
      <c r="AF19" s="81">
        <f t="shared" ref="AF19:AF34" si="27">SUMIF($B$3:$B$114,$V19,M$3:M$114)</f>
        <v>0</v>
      </c>
      <c r="AG19" s="81">
        <f t="shared" ref="AG19:AG34" si="28">SUMIF($B$3:$B$114,$V19,N$3:N$114)</f>
        <v>0</v>
      </c>
      <c r="AH19" s="81">
        <f t="shared" ref="AH19:AH34" si="29">SUMIF($B$3:$B$114,$V19,O$3:O$114)</f>
        <v>0</v>
      </c>
      <c r="AI19" s="81">
        <f t="shared" ref="AI19:AI34" si="30">SUMIF($B$3:$B$114,$V19,P$3:P$114)</f>
        <v>0</v>
      </c>
      <c r="AJ19" s="81">
        <f t="shared" ref="AJ19:AJ34" si="31">SUMIF($B$3:$B$114,$V19,Q$3:Q$114)</f>
        <v>0</v>
      </c>
      <c r="AK19" s="81">
        <f t="shared" ref="AK19:AK34" si="32">SUMIF($B$3:$B$114,$V19,R$3:R$114)</f>
        <v>0</v>
      </c>
    </row>
    <row r="20" spans="1:37" x14ac:dyDescent="0.25">
      <c r="A20" s="421">
        <f t="shared" si="16"/>
        <v>18</v>
      </c>
      <c r="B20" s="331" t="s">
        <v>754</v>
      </c>
      <c r="C20" s="421">
        <v>3</v>
      </c>
      <c r="D20" s="419">
        <f>SUMIFS(SX!U$2:U$19,SX!$B$2:$B$19,'chia CN SX'!$C20)</f>
        <v>0</v>
      </c>
      <c r="E20" s="419">
        <f>SUMIFS(SX!V$2:V$19,SX!$B$2:$B$19,'chia CN SX'!$C20)</f>
        <v>0</v>
      </c>
      <c r="F20" s="419">
        <f>SUMIFS(SX!W$2:W$19,SX!$B$2:$B$19,'chia CN SX'!$C20)</f>
        <v>0</v>
      </c>
      <c r="G20" s="419">
        <f>SUMIFS(SX!X$2:X$19,SX!$B$2:$B$19,'chia CN SX'!$C20)</f>
        <v>0</v>
      </c>
      <c r="H20" s="419">
        <f>SUMIFS(SX!Y$2:Y$19,SX!$B$2:$B$19,'chia CN SX'!$C20)</f>
        <v>0</v>
      </c>
      <c r="I20" s="419">
        <f>SUMIFS(SX!Z$2:Z$19,SX!$B$2:$B$19,'chia CN SX'!$C20)</f>
        <v>240</v>
      </c>
      <c r="J20" s="419">
        <f>SUMIFS(SX!AA$2:AA$19,SX!$B$2:$B$19,'chia CN SX'!$C20)</f>
        <v>0</v>
      </c>
      <c r="K20" s="419">
        <f>SUMIFS(SX!AB$2:AB$19,SX!$B$2:$B$19,'chia CN SX'!$C20)</f>
        <v>0</v>
      </c>
      <c r="L20" s="419">
        <f>SUMIFS(SX!AC$2:AC$19,SX!$B$2:$B$19,'chia CN SX'!$C20)</f>
        <v>0</v>
      </c>
      <c r="M20" s="419">
        <f>SUMIFS(SX!AD$2:AD$19,SX!$B$2:$B$19,'chia CN SX'!$C20)</f>
        <v>0</v>
      </c>
      <c r="N20" s="419">
        <f>SUMIFS(SX!AE$2:AE$19,SX!$B$2:$B$19,'chia CN SX'!$C20)</f>
        <v>0</v>
      </c>
      <c r="O20" s="419">
        <f>SUMIFS(SX!AF$2:AF$19,SX!$B$2:$B$19,'chia CN SX'!$C20)</f>
        <v>0</v>
      </c>
      <c r="P20" s="419">
        <f>SUMIFS(SX!AG$2:AG$19,SX!$B$2:$B$19,'chia CN SX'!$C20)</f>
        <v>0</v>
      </c>
      <c r="Q20" s="419">
        <f>SUMIFS(SX!AH$2:AH$19,SX!$B$2:$B$19,'chia CN SX'!$C20)</f>
        <v>0</v>
      </c>
      <c r="R20" s="419">
        <f>SUMIFS(SX!AI$2:AI$19,SX!$B$2:$B$19,'chia CN SX'!$C20)</f>
        <v>0</v>
      </c>
      <c r="S20" s="419">
        <f>SUMIFS(SX!AJ$2:AJ$19,SX!$B$2:$B$19,'chia CN SX'!$C20)</f>
        <v>0</v>
      </c>
      <c r="V20" s="80" t="e">
        <f>'chia CN boc xe'!U20</f>
        <v>#REF!</v>
      </c>
      <c r="W20" s="81">
        <f t="shared" si="18"/>
        <v>0</v>
      </c>
      <c r="X20" s="81">
        <f t="shared" si="19"/>
        <v>0</v>
      </c>
      <c r="Y20" s="81">
        <f t="shared" si="20"/>
        <v>0</v>
      </c>
      <c r="Z20" s="81">
        <f t="shared" si="21"/>
        <v>0</v>
      </c>
      <c r="AA20" s="81">
        <f t="shared" si="22"/>
        <v>0</v>
      </c>
      <c r="AB20" s="81">
        <f t="shared" si="23"/>
        <v>0</v>
      </c>
      <c r="AC20" s="81">
        <f t="shared" si="24"/>
        <v>0</v>
      </c>
      <c r="AD20" s="81">
        <f t="shared" si="25"/>
        <v>0</v>
      </c>
      <c r="AE20" s="81">
        <f t="shared" si="26"/>
        <v>0</v>
      </c>
      <c r="AF20" s="81">
        <f t="shared" si="27"/>
        <v>0</v>
      </c>
      <c r="AG20" s="81">
        <f t="shared" si="28"/>
        <v>0</v>
      </c>
      <c r="AH20" s="81">
        <f t="shared" si="29"/>
        <v>0</v>
      </c>
      <c r="AI20" s="81">
        <f t="shared" si="30"/>
        <v>0</v>
      </c>
      <c r="AJ20" s="81">
        <f t="shared" si="31"/>
        <v>0</v>
      </c>
      <c r="AK20" s="81">
        <f t="shared" si="32"/>
        <v>0</v>
      </c>
    </row>
    <row r="21" spans="1:37" x14ac:dyDescent="0.25">
      <c r="A21" s="421">
        <f t="shared" si="16"/>
        <v>19</v>
      </c>
      <c r="B21" s="556" t="s">
        <v>616</v>
      </c>
      <c r="C21" s="421">
        <v>4</v>
      </c>
      <c r="D21" s="419">
        <f>SUMIFS(SX!U$2:U$19,SX!$B$2:$B$19,'chia CN SX'!$C21)</f>
        <v>600</v>
      </c>
      <c r="E21" s="419">
        <f>SUMIFS(SX!V$2:V$19,SX!$B$2:$B$19,'chia CN SX'!$C21)</f>
        <v>0</v>
      </c>
      <c r="F21" s="419">
        <f>SUMIFS(SX!W$2:W$19,SX!$B$2:$B$19,'chia CN SX'!$C21)</f>
        <v>0</v>
      </c>
      <c r="G21" s="419">
        <f>SUMIFS(SX!X$2:X$19,SX!$B$2:$B$19,'chia CN SX'!$C21)</f>
        <v>0</v>
      </c>
      <c r="H21" s="419">
        <f>SUMIFS(SX!Y$2:Y$19,SX!$B$2:$B$19,'chia CN SX'!$C21)</f>
        <v>0</v>
      </c>
      <c r="I21" s="419">
        <f>SUMIFS(SX!Z$2:Z$19,SX!$B$2:$B$19,'chia CN SX'!$C21)</f>
        <v>0</v>
      </c>
      <c r="J21" s="419">
        <f>SUMIFS(SX!AA$2:AA$19,SX!$B$2:$B$19,'chia CN SX'!$C21)</f>
        <v>0</v>
      </c>
      <c r="K21" s="419">
        <f>SUMIFS(SX!AB$2:AB$19,SX!$B$2:$B$19,'chia CN SX'!$C21)</f>
        <v>0</v>
      </c>
      <c r="L21" s="419">
        <f>SUMIFS(SX!AC$2:AC$19,SX!$B$2:$B$19,'chia CN SX'!$C21)</f>
        <v>0</v>
      </c>
      <c r="M21" s="419">
        <f>SUMIFS(SX!AD$2:AD$19,SX!$B$2:$B$19,'chia CN SX'!$C21)</f>
        <v>0</v>
      </c>
      <c r="N21" s="419">
        <f>SUMIFS(SX!AE$2:AE$19,SX!$B$2:$B$19,'chia CN SX'!$C21)</f>
        <v>0</v>
      </c>
      <c r="O21" s="419">
        <f>SUMIFS(SX!AF$2:AF$19,SX!$B$2:$B$19,'chia CN SX'!$C21)</f>
        <v>0</v>
      </c>
      <c r="P21" s="419">
        <f>SUMIFS(SX!AG$2:AG$19,SX!$B$2:$B$19,'chia CN SX'!$C21)</f>
        <v>0</v>
      </c>
      <c r="Q21" s="419">
        <f>SUMIFS(SX!AH$2:AH$19,SX!$B$2:$B$19,'chia CN SX'!$C21)</f>
        <v>0</v>
      </c>
      <c r="R21" s="419">
        <f>SUMIFS(SX!AI$2:AI$19,SX!$B$2:$B$19,'chia CN SX'!$C21)</f>
        <v>0</v>
      </c>
      <c r="S21" s="419">
        <f>SUMIFS(SX!AJ$2:AJ$19,SX!$B$2:$B$19,'chia CN SX'!$C21)</f>
        <v>0</v>
      </c>
      <c r="V21" s="80" t="str">
        <f>'chia CN boc xe'!U21</f>
        <v>Triệu Minh Tuấn</v>
      </c>
      <c r="W21" s="81">
        <f t="shared" si="18"/>
        <v>0</v>
      </c>
      <c r="X21" s="81">
        <f t="shared" si="19"/>
        <v>0</v>
      </c>
      <c r="Y21" s="81">
        <f t="shared" si="20"/>
        <v>0</v>
      </c>
      <c r="Z21" s="81">
        <f t="shared" si="21"/>
        <v>0</v>
      </c>
      <c r="AA21" s="81">
        <f t="shared" si="22"/>
        <v>0</v>
      </c>
      <c r="AB21" s="81">
        <f t="shared" si="23"/>
        <v>0</v>
      </c>
      <c r="AC21" s="81">
        <f t="shared" si="24"/>
        <v>0</v>
      </c>
      <c r="AD21" s="81">
        <f t="shared" si="25"/>
        <v>0</v>
      </c>
      <c r="AE21" s="81">
        <f t="shared" si="26"/>
        <v>0</v>
      </c>
      <c r="AF21" s="81">
        <f t="shared" si="27"/>
        <v>0</v>
      </c>
      <c r="AG21" s="81">
        <f t="shared" si="28"/>
        <v>0</v>
      </c>
      <c r="AH21" s="81">
        <f t="shared" si="29"/>
        <v>0</v>
      </c>
      <c r="AI21" s="81">
        <f t="shared" si="30"/>
        <v>0</v>
      </c>
      <c r="AJ21" s="81">
        <f t="shared" si="31"/>
        <v>0</v>
      </c>
      <c r="AK21" s="81">
        <f t="shared" si="32"/>
        <v>0</v>
      </c>
    </row>
    <row r="22" spans="1:37" x14ac:dyDescent="0.25">
      <c r="A22" s="421">
        <f t="shared" si="16"/>
        <v>20</v>
      </c>
      <c r="B22" s="556" t="s">
        <v>743</v>
      </c>
      <c r="C22" s="421">
        <v>4</v>
      </c>
      <c r="D22" s="419">
        <f>SUMIFS(SX!U$2:U$19,SX!$B$2:$B$19,'chia CN SX'!$C22)</f>
        <v>600</v>
      </c>
      <c r="E22" s="419">
        <f>SUMIFS(SX!V$2:V$19,SX!$B$2:$B$19,'chia CN SX'!$C22)</f>
        <v>0</v>
      </c>
      <c r="F22" s="419">
        <f>SUMIFS(SX!W$2:W$19,SX!$B$2:$B$19,'chia CN SX'!$C22)</f>
        <v>0</v>
      </c>
      <c r="G22" s="419">
        <f>SUMIFS(SX!X$2:X$19,SX!$B$2:$B$19,'chia CN SX'!$C22)</f>
        <v>0</v>
      </c>
      <c r="H22" s="419">
        <f>SUMIFS(SX!Y$2:Y$19,SX!$B$2:$B$19,'chia CN SX'!$C22)</f>
        <v>0</v>
      </c>
      <c r="I22" s="419">
        <f>SUMIFS(SX!Z$2:Z$19,SX!$B$2:$B$19,'chia CN SX'!$C22)</f>
        <v>0</v>
      </c>
      <c r="J22" s="419">
        <f>SUMIFS(SX!AA$2:AA$19,SX!$B$2:$B$19,'chia CN SX'!$C22)</f>
        <v>0</v>
      </c>
      <c r="K22" s="419">
        <f>SUMIFS(SX!AB$2:AB$19,SX!$B$2:$B$19,'chia CN SX'!$C22)</f>
        <v>0</v>
      </c>
      <c r="L22" s="419">
        <f>SUMIFS(SX!AC$2:AC$19,SX!$B$2:$B$19,'chia CN SX'!$C22)</f>
        <v>0</v>
      </c>
      <c r="M22" s="419">
        <f>SUMIFS(SX!AD$2:AD$19,SX!$B$2:$B$19,'chia CN SX'!$C22)</f>
        <v>0</v>
      </c>
      <c r="N22" s="419">
        <f>SUMIFS(SX!AE$2:AE$19,SX!$B$2:$B$19,'chia CN SX'!$C22)</f>
        <v>0</v>
      </c>
      <c r="O22" s="419">
        <f>SUMIFS(SX!AF$2:AF$19,SX!$B$2:$B$19,'chia CN SX'!$C22)</f>
        <v>0</v>
      </c>
      <c r="P22" s="419">
        <f>SUMIFS(SX!AG$2:AG$19,SX!$B$2:$B$19,'chia CN SX'!$C22)</f>
        <v>0</v>
      </c>
      <c r="Q22" s="419">
        <f>SUMIFS(SX!AH$2:AH$19,SX!$B$2:$B$19,'chia CN SX'!$C22)</f>
        <v>0</v>
      </c>
      <c r="R22" s="419">
        <f>SUMIFS(SX!AI$2:AI$19,SX!$B$2:$B$19,'chia CN SX'!$C22)</f>
        <v>0</v>
      </c>
      <c r="S22" s="419">
        <f>SUMIFS(SX!AJ$2:AJ$19,SX!$B$2:$B$19,'chia CN SX'!$C22)</f>
        <v>0</v>
      </c>
      <c r="V22" s="80" t="str">
        <f>'chia CN boc xe'!U22</f>
        <v>Nguyễn Văn Phụng</v>
      </c>
      <c r="W22" s="81">
        <f t="shared" si="18"/>
        <v>0</v>
      </c>
      <c r="X22" s="81">
        <f t="shared" si="19"/>
        <v>0</v>
      </c>
      <c r="Y22" s="81">
        <f t="shared" si="20"/>
        <v>0</v>
      </c>
      <c r="Z22" s="81">
        <f t="shared" si="21"/>
        <v>0</v>
      </c>
      <c r="AA22" s="81">
        <f t="shared" si="22"/>
        <v>0</v>
      </c>
      <c r="AB22" s="81">
        <f t="shared" si="23"/>
        <v>0</v>
      </c>
      <c r="AC22" s="81">
        <f t="shared" si="24"/>
        <v>0</v>
      </c>
      <c r="AD22" s="81">
        <f t="shared" si="25"/>
        <v>0</v>
      </c>
      <c r="AE22" s="81">
        <f t="shared" si="26"/>
        <v>0</v>
      </c>
      <c r="AF22" s="81">
        <f t="shared" si="27"/>
        <v>0</v>
      </c>
      <c r="AG22" s="81">
        <f t="shared" si="28"/>
        <v>0</v>
      </c>
      <c r="AH22" s="81">
        <f t="shared" si="29"/>
        <v>0</v>
      </c>
      <c r="AI22" s="81">
        <f t="shared" si="30"/>
        <v>0</v>
      </c>
      <c r="AJ22" s="81">
        <f t="shared" si="31"/>
        <v>0</v>
      </c>
      <c r="AK22" s="81">
        <f t="shared" si="32"/>
        <v>0</v>
      </c>
    </row>
    <row r="23" spans="1:37" x14ac:dyDescent="0.25">
      <c r="A23" s="421">
        <f t="shared" si="16"/>
        <v>21</v>
      </c>
      <c r="B23" s="556" t="s">
        <v>599</v>
      </c>
      <c r="C23" s="421">
        <v>5</v>
      </c>
      <c r="D23" s="419">
        <f>SUMIFS(SX!U$2:U$19,SX!$B$2:$B$19,'chia CN SX'!$C23)</f>
        <v>0</v>
      </c>
      <c r="E23" s="419">
        <f>SUMIFS(SX!V$2:V$19,SX!$B$2:$B$19,'chia CN SX'!$C23)</f>
        <v>0</v>
      </c>
      <c r="F23" s="419">
        <f>SUMIFS(SX!W$2:W$19,SX!$B$2:$B$19,'chia CN SX'!$C23)</f>
        <v>0</v>
      </c>
      <c r="G23" s="419">
        <f>SUMIFS(SX!X$2:X$19,SX!$B$2:$B$19,'chia CN SX'!$C23)</f>
        <v>333.33333333333331</v>
      </c>
      <c r="H23" s="419">
        <f>SUMIFS(SX!Y$2:Y$19,SX!$B$2:$B$19,'chia CN SX'!$C23)</f>
        <v>0</v>
      </c>
      <c r="I23" s="419">
        <f>SUMIFS(SX!Z$2:Z$19,SX!$B$2:$B$19,'chia CN SX'!$C23)</f>
        <v>0</v>
      </c>
      <c r="J23" s="419">
        <f>SUMIFS(SX!AA$2:AA$19,SX!$B$2:$B$19,'chia CN SX'!$C23)</f>
        <v>0</v>
      </c>
      <c r="K23" s="419">
        <f>SUMIFS(SX!AB$2:AB$19,SX!$B$2:$B$19,'chia CN SX'!$C23)</f>
        <v>0</v>
      </c>
      <c r="L23" s="419">
        <f>SUMIFS(SX!AC$2:AC$19,SX!$B$2:$B$19,'chia CN SX'!$C23)</f>
        <v>0</v>
      </c>
      <c r="M23" s="419">
        <f>SUMIFS(SX!AD$2:AD$19,SX!$B$2:$B$19,'chia CN SX'!$C23)</f>
        <v>0</v>
      </c>
      <c r="N23" s="419">
        <f>SUMIFS(SX!AE$2:AE$19,SX!$B$2:$B$19,'chia CN SX'!$C23)</f>
        <v>0</v>
      </c>
      <c r="O23" s="419">
        <f>SUMIFS(SX!AF$2:AF$19,SX!$B$2:$B$19,'chia CN SX'!$C23)</f>
        <v>0</v>
      </c>
      <c r="P23" s="419">
        <f>SUMIFS(SX!AG$2:AG$19,SX!$B$2:$B$19,'chia CN SX'!$C23)</f>
        <v>0</v>
      </c>
      <c r="Q23" s="419">
        <f>SUMIFS(SX!AH$2:AH$19,SX!$B$2:$B$19,'chia CN SX'!$C23)</f>
        <v>0</v>
      </c>
      <c r="R23" s="419">
        <f>SUMIFS(SX!AI$2:AI$19,SX!$B$2:$B$19,'chia CN SX'!$C23)</f>
        <v>0</v>
      </c>
      <c r="S23" s="419">
        <f>SUMIFS(SX!AJ$2:AJ$19,SX!$B$2:$B$19,'chia CN SX'!$C23)</f>
        <v>0</v>
      </c>
      <c r="V23" s="80" t="e">
        <f>'chia CN boc xe'!U23</f>
        <v>#REF!</v>
      </c>
      <c r="W23" s="81">
        <f t="shared" si="18"/>
        <v>0</v>
      </c>
      <c r="X23" s="81">
        <f t="shared" si="19"/>
        <v>0</v>
      </c>
      <c r="Y23" s="81">
        <f t="shared" si="20"/>
        <v>0</v>
      </c>
      <c r="Z23" s="81">
        <f t="shared" si="21"/>
        <v>0</v>
      </c>
      <c r="AA23" s="81">
        <f t="shared" si="22"/>
        <v>0</v>
      </c>
      <c r="AB23" s="81">
        <f t="shared" si="23"/>
        <v>0</v>
      </c>
      <c r="AC23" s="81">
        <f t="shared" si="24"/>
        <v>0</v>
      </c>
      <c r="AD23" s="81">
        <f t="shared" si="25"/>
        <v>0</v>
      </c>
      <c r="AE23" s="81">
        <f t="shared" si="26"/>
        <v>0</v>
      </c>
      <c r="AF23" s="81">
        <f t="shared" si="27"/>
        <v>0</v>
      </c>
      <c r="AG23" s="81">
        <f t="shared" si="28"/>
        <v>0</v>
      </c>
      <c r="AH23" s="81">
        <f t="shared" si="29"/>
        <v>0</v>
      </c>
      <c r="AI23" s="81">
        <f t="shared" si="30"/>
        <v>0</v>
      </c>
      <c r="AJ23" s="81">
        <f t="shared" si="31"/>
        <v>0</v>
      </c>
      <c r="AK23" s="81">
        <f t="shared" si="32"/>
        <v>0</v>
      </c>
    </row>
    <row r="24" spans="1:37" x14ac:dyDescent="0.25">
      <c r="A24" s="421">
        <f t="shared" si="16"/>
        <v>22</v>
      </c>
      <c r="B24" s="331" t="s">
        <v>601</v>
      </c>
      <c r="C24" s="421">
        <v>5</v>
      </c>
      <c r="D24" s="419">
        <f>SUMIFS(SX!U$2:U$19,SX!$B$2:$B$19,'chia CN SX'!$C24)</f>
        <v>0</v>
      </c>
      <c r="E24" s="419">
        <f>SUMIFS(SX!V$2:V$19,SX!$B$2:$B$19,'chia CN SX'!$C24)</f>
        <v>0</v>
      </c>
      <c r="F24" s="419">
        <f>SUMIFS(SX!W$2:W$19,SX!$B$2:$B$19,'chia CN SX'!$C24)</f>
        <v>0</v>
      </c>
      <c r="G24" s="419">
        <f>SUMIFS(SX!X$2:X$19,SX!$B$2:$B$19,'chia CN SX'!$C24)</f>
        <v>333.33333333333331</v>
      </c>
      <c r="H24" s="419">
        <f>SUMIFS(SX!Y$2:Y$19,SX!$B$2:$B$19,'chia CN SX'!$C24)</f>
        <v>0</v>
      </c>
      <c r="I24" s="419">
        <f>SUMIFS(SX!Z$2:Z$19,SX!$B$2:$B$19,'chia CN SX'!$C24)</f>
        <v>0</v>
      </c>
      <c r="J24" s="419">
        <f>SUMIFS(SX!AA$2:AA$19,SX!$B$2:$B$19,'chia CN SX'!$C24)</f>
        <v>0</v>
      </c>
      <c r="K24" s="419">
        <f>SUMIFS(SX!AB$2:AB$19,SX!$B$2:$B$19,'chia CN SX'!$C24)</f>
        <v>0</v>
      </c>
      <c r="L24" s="419">
        <f>SUMIFS(SX!AC$2:AC$19,SX!$B$2:$B$19,'chia CN SX'!$C24)</f>
        <v>0</v>
      </c>
      <c r="M24" s="419">
        <f>SUMIFS(SX!AD$2:AD$19,SX!$B$2:$B$19,'chia CN SX'!$C24)</f>
        <v>0</v>
      </c>
      <c r="N24" s="419">
        <f>SUMIFS(SX!AE$2:AE$19,SX!$B$2:$B$19,'chia CN SX'!$C24)</f>
        <v>0</v>
      </c>
      <c r="O24" s="419">
        <f>SUMIFS(SX!AF$2:AF$19,SX!$B$2:$B$19,'chia CN SX'!$C24)</f>
        <v>0</v>
      </c>
      <c r="P24" s="419">
        <f>SUMIFS(SX!AG$2:AG$19,SX!$B$2:$B$19,'chia CN SX'!$C24)</f>
        <v>0</v>
      </c>
      <c r="Q24" s="419">
        <f>SUMIFS(SX!AH$2:AH$19,SX!$B$2:$B$19,'chia CN SX'!$C24)</f>
        <v>0</v>
      </c>
      <c r="R24" s="419">
        <f>SUMIFS(SX!AI$2:AI$19,SX!$B$2:$B$19,'chia CN SX'!$C24)</f>
        <v>0</v>
      </c>
      <c r="S24" s="419">
        <f>SUMIFS(SX!AJ$2:AJ$19,SX!$B$2:$B$19,'chia CN SX'!$C24)</f>
        <v>0</v>
      </c>
      <c r="V24" s="80" t="str">
        <f>'chia CN boc xe'!U24</f>
        <v xml:space="preserve">Nguyễn Minh Tuấn </v>
      </c>
      <c r="W24" s="81">
        <f t="shared" si="18"/>
        <v>0</v>
      </c>
      <c r="X24" s="81">
        <f t="shared" si="19"/>
        <v>0</v>
      </c>
      <c r="Y24" s="81">
        <f t="shared" si="20"/>
        <v>0</v>
      </c>
      <c r="Z24" s="81">
        <f t="shared" si="21"/>
        <v>0</v>
      </c>
      <c r="AA24" s="81">
        <f t="shared" si="22"/>
        <v>0</v>
      </c>
      <c r="AB24" s="81">
        <f t="shared" si="23"/>
        <v>0</v>
      </c>
      <c r="AC24" s="81">
        <f t="shared" si="24"/>
        <v>0</v>
      </c>
      <c r="AD24" s="81">
        <f t="shared" si="25"/>
        <v>0</v>
      </c>
      <c r="AE24" s="81">
        <f t="shared" si="26"/>
        <v>0</v>
      </c>
      <c r="AF24" s="81">
        <f t="shared" si="27"/>
        <v>0</v>
      </c>
      <c r="AG24" s="81">
        <f t="shared" si="28"/>
        <v>0</v>
      </c>
      <c r="AH24" s="81">
        <f t="shared" si="29"/>
        <v>0</v>
      </c>
      <c r="AI24" s="81">
        <f t="shared" si="30"/>
        <v>0</v>
      </c>
      <c r="AJ24" s="81">
        <f t="shared" si="31"/>
        <v>0</v>
      </c>
      <c r="AK24" s="81">
        <f t="shared" si="32"/>
        <v>0</v>
      </c>
    </row>
    <row r="25" spans="1:37" x14ac:dyDescent="0.25">
      <c r="A25" s="421">
        <f t="shared" si="16"/>
        <v>23</v>
      </c>
      <c r="B25" s="557" t="s">
        <v>615</v>
      </c>
      <c r="C25" s="421">
        <v>5</v>
      </c>
      <c r="D25" s="419">
        <f>SUMIFS(SX!U$2:U$19,SX!$B$2:$B$19,'chia CN SX'!$C25)</f>
        <v>0</v>
      </c>
      <c r="E25" s="419">
        <f>SUMIFS(SX!V$2:V$19,SX!$B$2:$B$19,'chia CN SX'!$C25)</f>
        <v>0</v>
      </c>
      <c r="F25" s="419">
        <f>SUMIFS(SX!W$2:W$19,SX!$B$2:$B$19,'chia CN SX'!$C25)</f>
        <v>0</v>
      </c>
      <c r="G25" s="419">
        <f>SUMIFS(SX!X$2:X$19,SX!$B$2:$B$19,'chia CN SX'!$C25)</f>
        <v>333.33333333333331</v>
      </c>
      <c r="H25" s="419">
        <f>SUMIFS(SX!Y$2:Y$19,SX!$B$2:$B$19,'chia CN SX'!$C25)</f>
        <v>0</v>
      </c>
      <c r="I25" s="419">
        <f>SUMIFS(SX!Z$2:Z$19,SX!$B$2:$B$19,'chia CN SX'!$C25)</f>
        <v>0</v>
      </c>
      <c r="J25" s="419">
        <f>SUMIFS(SX!AA$2:AA$19,SX!$B$2:$B$19,'chia CN SX'!$C25)</f>
        <v>0</v>
      </c>
      <c r="K25" s="419">
        <f>SUMIFS(SX!AB$2:AB$19,SX!$B$2:$B$19,'chia CN SX'!$C25)</f>
        <v>0</v>
      </c>
      <c r="L25" s="419">
        <f>SUMIFS(SX!AC$2:AC$19,SX!$B$2:$B$19,'chia CN SX'!$C25)</f>
        <v>0</v>
      </c>
      <c r="M25" s="419">
        <f>SUMIFS(SX!AD$2:AD$19,SX!$B$2:$B$19,'chia CN SX'!$C25)</f>
        <v>0</v>
      </c>
      <c r="N25" s="419">
        <f>SUMIFS(SX!AE$2:AE$19,SX!$B$2:$B$19,'chia CN SX'!$C25)</f>
        <v>0</v>
      </c>
      <c r="O25" s="419">
        <f>SUMIFS(SX!AF$2:AF$19,SX!$B$2:$B$19,'chia CN SX'!$C25)</f>
        <v>0</v>
      </c>
      <c r="P25" s="419">
        <f>SUMIFS(SX!AG$2:AG$19,SX!$B$2:$B$19,'chia CN SX'!$C25)</f>
        <v>0</v>
      </c>
      <c r="Q25" s="419">
        <f>SUMIFS(SX!AH$2:AH$19,SX!$B$2:$B$19,'chia CN SX'!$C25)</f>
        <v>0</v>
      </c>
      <c r="R25" s="419">
        <f>SUMIFS(SX!AI$2:AI$19,SX!$B$2:$B$19,'chia CN SX'!$C25)</f>
        <v>0</v>
      </c>
      <c r="S25" s="419">
        <f>SUMIFS(SX!AJ$2:AJ$19,SX!$B$2:$B$19,'chia CN SX'!$C25)</f>
        <v>0</v>
      </c>
      <c r="V25" s="80" t="e">
        <f>'chia CN boc xe'!U25</f>
        <v>#REF!</v>
      </c>
      <c r="W25" s="81">
        <f t="shared" si="18"/>
        <v>0</v>
      </c>
      <c r="X25" s="81">
        <f t="shared" si="19"/>
        <v>0</v>
      </c>
      <c r="Y25" s="81">
        <f t="shared" si="20"/>
        <v>0</v>
      </c>
      <c r="Z25" s="81">
        <f t="shared" si="21"/>
        <v>0</v>
      </c>
      <c r="AA25" s="81">
        <f t="shared" si="22"/>
        <v>0</v>
      </c>
      <c r="AB25" s="81">
        <f t="shared" si="23"/>
        <v>0</v>
      </c>
      <c r="AC25" s="81">
        <f t="shared" si="24"/>
        <v>0</v>
      </c>
      <c r="AD25" s="81">
        <f t="shared" si="25"/>
        <v>0</v>
      </c>
      <c r="AE25" s="81">
        <f t="shared" si="26"/>
        <v>0</v>
      </c>
      <c r="AF25" s="81">
        <f t="shared" si="27"/>
        <v>0</v>
      </c>
      <c r="AG25" s="81">
        <f t="shared" si="28"/>
        <v>0</v>
      </c>
      <c r="AH25" s="81">
        <f t="shared" si="29"/>
        <v>0</v>
      </c>
      <c r="AI25" s="81">
        <f t="shared" si="30"/>
        <v>0</v>
      </c>
      <c r="AJ25" s="81">
        <f t="shared" si="31"/>
        <v>0</v>
      </c>
      <c r="AK25" s="81">
        <f t="shared" si="32"/>
        <v>0</v>
      </c>
    </row>
    <row r="26" spans="1:37" x14ac:dyDescent="0.25">
      <c r="A26" s="421">
        <f t="shared" si="16"/>
        <v>24</v>
      </c>
      <c r="B26" s="557" t="s">
        <v>748</v>
      </c>
      <c r="C26" s="421">
        <v>5</v>
      </c>
      <c r="D26" s="419">
        <f>SUMIFS(SX!U$2:U$19,SX!$B$2:$B$19,'chia CN SX'!$C26)</f>
        <v>0</v>
      </c>
      <c r="E26" s="419">
        <f>SUMIFS(SX!V$2:V$19,SX!$B$2:$B$19,'chia CN SX'!$C26)</f>
        <v>0</v>
      </c>
      <c r="F26" s="419">
        <f>SUMIFS(SX!W$2:W$19,SX!$B$2:$B$19,'chia CN SX'!$C26)</f>
        <v>0</v>
      </c>
      <c r="G26" s="419">
        <f>SUMIFS(SX!X$2:X$19,SX!$B$2:$B$19,'chia CN SX'!$C26)</f>
        <v>333.33333333333331</v>
      </c>
      <c r="H26" s="419">
        <f>SUMIFS(SX!Y$2:Y$19,SX!$B$2:$B$19,'chia CN SX'!$C26)</f>
        <v>0</v>
      </c>
      <c r="I26" s="419">
        <f>SUMIFS(SX!Z$2:Z$19,SX!$B$2:$B$19,'chia CN SX'!$C26)</f>
        <v>0</v>
      </c>
      <c r="J26" s="419">
        <f>SUMIFS(SX!AA$2:AA$19,SX!$B$2:$B$19,'chia CN SX'!$C26)</f>
        <v>0</v>
      </c>
      <c r="K26" s="419">
        <f>SUMIFS(SX!AB$2:AB$19,SX!$B$2:$B$19,'chia CN SX'!$C26)</f>
        <v>0</v>
      </c>
      <c r="L26" s="419">
        <f>SUMIFS(SX!AC$2:AC$19,SX!$B$2:$B$19,'chia CN SX'!$C26)</f>
        <v>0</v>
      </c>
      <c r="M26" s="419">
        <f>SUMIFS(SX!AD$2:AD$19,SX!$B$2:$B$19,'chia CN SX'!$C26)</f>
        <v>0</v>
      </c>
      <c r="N26" s="419">
        <f>SUMIFS(SX!AE$2:AE$19,SX!$B$2:$B$19,'chia CN SX'!$C26)</f>
        <v>0</v>
      </c>
      <c r="O26" s="419">
        <f>SUMIFS(SX!AF$2:AF$19,SX!$B$2:$B$19,'chia CN SX'!$C26)</f>
        <v>0</v>
      </c>
      <c r="P26" s="419">
        <f>SUMIFS(SX!AG$2:AG$19,SX!$B$2:$B$19,'chia CN SX'!$C26)</f>
        <v>0</v>
      </c>
      <c r="Q26" s="419">
        <f>SUMIFS(SX!AH$2:AH$19,SX!$B$2:$B$19,'chia CN SX'!$C26)</f>
        <v>0</v>
      </c>
      <c r="R26" s="419">
        <f>SUMIFS(SX!AI$2:AI$19,SX!$B$2:$B$19,'chia CN SX'!$C26)</f>
        <v>0</v>
      </c>
      <c r="S26" s="419">
        <f>SUMIFS(SX!AJ$2:AJ$19,SX!$B$2:$B$19,'chia CN SX'!$C26)</f>
        <v>0</v>
      </c>
      <c r="V26" s="80" t="str">
        <f>'chia CN boc xe'!U26</f>
        <v xml:space="preserve">Triệu Bô Na </v>
      </c>
      <c r="W26" s="81">
        <f t="shared" si="18"/>
        <v>0</v>
      </c>
      <c r="X26" s="81">
        <f t="shared" si="19"/>
        <v>0</v>
      </c>
      <c r="Y26" s="81">
        <f t="shared" si="20"/>
        <v>0</v>
      </c>
      <c r="Z26" s="81">
        <f t="shared" si="21"/>
        <v>0</v>
      </c>
      <c r="AA26" s="81">
        <f t="shared" si="22"/>
        <v>0</v>
      </c>
      <c r="AB26" s="81">
        <f t="shared" si="23"/>
        <v>0</v>
      </c>
      <c r="AC26" s="81">
        <f t="shared" si="24"/>
        <v>0</v>
      </c>
      <c r="AD26" s="81">
        <f t="shared" si="25"/>
        <v>0</v>
      </c>
      <c r="AE26" s="81">
        <f t="shared" si="26"/>
        <v>0</v>
      </c>
      <c r="AF26" s="81">
        <f t="shared" si="27"/>
        <v>0</v>
      </c>
      <c r="AG26" s="81">
        <f t="shared" si="28"/>
        <v>0</v>
      </c>
      <c r="AH26" s="81">
        <f t="shared" si="29"/>
        <v>0</v>
      </c>
      <c r="AI26" s="81">
        <f t="shared" si="30"/>
        <v>0</v>
      </c>
      <c r="AJ26" s="81">
        <f t="shared" si="31"/>
        <v>0</v>
      </c>
      <c r="AK26" s="81">
        <f t="shared" si="32"/>
        <v>0</v>
      </c>
    </row>
    <row r="27" spans="1:37" x14ac:dyDescent="0.25">
      <c r="A27" s="421">
        <f t="shared" si="16"/>
        <v>25</v>
      </c>
      <c r="B27" s="557" t="s">
        <v>719</v>
      </c>
      <c r="C27" s="421">
        <v>6</v>
      </c>
      <c r="D27" s="419">
        <f>SUMIFS(SX!U$2:U$19,SX!$B$2:$B$19,'chia CN SX'!$C27)</f>
        <v>0</v>
      </c>
      <c r="E27" s="419">
        <f>SUMIFS(SX!V$2:V$19,SX!$B$2:$B$19,'chia CN SX'!$C27)</f>
        <v>270</v>
      </c>
      <c r="F27" s="419">
        <f>SUMIFS(SX!W$2:W$19,SX!$B$2:$B$19,'chia CN SX'!$C27)</f>
        <v>0</v>
      </c>
      <c r="G27" s="419">
        <f>SUMIFS(SX!X$2:X$19,SX!$B$2:$B$19,'chia CN SX'!$C27)</f>
        <v>0</v>
      </c>
      <c r="H27" s="419">
        <f>SUMIFS(SX!Y$2:Y$19,SX!$B$2:$B$19,'chia CN SX'!$C27)</f>
        <v>0</v>
      </c>
      <c r="I27" s="419">
        <f>SUMIFS(SX!Z$2:Z$19,SX!$B$2:$B$19,'chia CN SX'!$C27)</f>
        <v>0</v>
      </c>
      <c r="J27" s="419">
        <f>SUMIFS(SX!AA$2:AA$19,SX!$B$2:$B$19,'chia CN SX'!$C27)</f>
        <v>0</v>
      </c>
      <c r="K27" s="419">
        <f>SUMIFS(SX!AB$2:AB$19,SX!$B$2:$B$19,'chia CN SX'!$C27)</f>
        <v>0</v>
      </c>
      <c r="L27" s="419">
        <f>SUMIFS(SX!AC$2:AC$19,SX!$B$2:$B$19,'chia CN SX'!$C27)</f>
        <v>0</v>
      </c>
      <c r="M27" s="419">
        <f>SUMIFS(SX!AD$2:AD$19,SX!$B$2:$B$19,'chia CN SX'!$C27)</f>
        <v>0</v>
      </c>
      <c r="N27" s="419">
        <f>SUMIFS(SX!AE$2:AE$19,SX!$B$2:$B$19,'chia CN SX'!$C27)</f>
        <v>0</v>
      </c>
      <c r="O27" s="419">
        <f>SUMIFS(SX!AF$2:AF$19,SX!$B$2:$B$19,'chia CN SX'!$C27)</f>
        <v>0</v>
      </c>
      <c r="P27" s="419">
        <f>SUMIFS(SX!AG$2:AG$19,SX!$B$2:$B$19,'chia CN SX'!$C27)</f>
        <v>0</v>
      </c>
      <c r="Q27" s="419">
        <f>SUMIFS(SX!AH$2:AH$19,SX!$B$2:$B$19,'chia CN SX'!$C27)</f>
        <v>0</v>
      </c>
      <c r="R27" s="419">
        <f>SUMIFS(SX!AI$2:AI$19,SX!$B$2:$B$19,'chia CN SX'!$C27)</f>
        <v>0</v>
      </c>
      <c r="S27" s="419">
        <f>SUMIFS(SX!AJ$2:AJ$19,SX!$B$2:$B$19,'chia CN SX'!$C27)</f>
        <v>0</v>
      </c>
      <c r="V27" s="80" t="str">
        <f>'chia CN boc xe'!U27</f>
        <v xml:space="preserve">Trần Văn Thứ </v>
      </c>
      <c r="W27" s="81">
        <f t="shared" si="18"/>
        <v>0</v>
      </c>
      <c r="X27" s="81">
        <f t="shared" si="19"/>
        <v>0</v>
      </c>
      <c r="Y27" s="81">
        <f t="shared" si="20"/>
        <v>0</v>
      </c>
      <c r="Z27" s="81">
        <f t="shared" si="21"/>
        <v>0</v>
      </c>
      <c r="AA27" s="81">
        <f t="shared" si="22"/>
        <v>0</v>
      </c>
      <c r="AB27" s="81">
        <f t="shared" si="23"/>
        <v>0</v>
      </c>
      <c r="AC27" s="81">
        <f t="shared" si="24"/>
        <v>0</v>
      </c>
      <c r="AD27" s="81">
        <f t="shared" si="25"/>
        <v>0</v>
      </c>
      <c r="AE27" s="81">
        <f t="shared" si="26"/>
        <v>0</v>
      </c>
      <c r="AF27" s="81">
        <f t="shared" si="27"/>
        <v>0</v>
      </c>
      <c r="AG27" s="81">
        <f t="shared" si="28"/>
        <v>0</v>
      </c>
      <c r="AH27" s="81">
        <f t="shared" si="29"/>
        <v>0</v>
      </c>
      <c r="AI27" s="81">
        <f t="shared" si="30"/>
        <v>0</v>
      </c>
      <c r="AJ27" s="81">
        <f t="shared" si="31"/>
        <v>0</v>
      </c>
      <c r="AK27" s="81">
        <f t="shared" si="32"/>
        <v>0</v>
      </c>
    </row>
    <row r="28" spans="1:37" x14ac:dyDescent="0.25">
      <c r="A28" s="421">
        <f t="shared" si="16"/>
        <v>26</v>
      </c>
      <c r="B28" s="557" t="s">
        <v>747</v>
      </c>
      <c r="C28" s="421">
        <v>6</v>
      </c>
      <c r="D28" s="419">
        <f>SUMIFS(SX!U$2:U$19,SX!$B$2:$B$19,'chia CN SX'!$C28)</f>
        <v>0</v>
      </c>
      <c r="E28" s="419">
        <f>SUMIFS(SX!V$2:V$19,SX!$B$2:$B$19,'chia CN SX'!$C28)</f>
        <v>270</v>
      </c>
      <c r="F28" s="419">
        <f>SUMIFS(SX!W$2:W$19,SX!$B$2:$B$19,'chia CN SX'!$C28)</f>
        <v>0</v>
      </c>
      <c r="G28" s="419">
        <f>SUMIFS(SX!X$2:X$19,SX!$B$2:$B$19,'chia CN SX'!$C28)</f>
        <v>0</v>
      </c>
      <c r="H28" s="419">
        <f>SUMIFS(SX!Y$2:Y$19,SX!$B$2:$B$19,'chia CN SX'!$C28)</f>
        <v>0</v>
      </c>
      <c r="I28" s="419">
        <f>SUMIFS(SX!Z$2:Z$19,SX!$B$2:$B$19,'chia CN SX'!$C28)</f>
        <v>0</v>
      </c>
      <c r="J28" s="419">
        <f>SUMIFS(SX!AA$2:AA$19,SX!$B$2:$B$19,'chia CN SX'!$C28)</f>
        <v>0</v>
      </c>
      <c r="K28" s="419">
        <f>SUMIFS(SX!AB$2:AB$19,SX!$B$2:$B$19,'chia CN SX'!$C28)</f>
        <v>0</v>
      </c>
      <c r="L28" s="419">
        <f>SUMIFS(SX!AC$2:AC$19,SX!$B$2:$B$19,'chia CN SX'!$C28)</f>
        <v>0</v>
      </c>
      <c r="M28" s="419">
        <f>SUMIFS(SX!AD$2:AD$19,SX!$B$2:$B$19,'chia CN SX'!$C28)</f>
        <v>0</v>
      </c>
      <c r="N28" s="419">
        <f>SUMIFS(SX!AE$2:AE$19,SX!$B$2:$B$19,'chia CN SX'!$C28)</f>
        <v>0</v>
      </c>
      <c r="O28" s="419">
        <f>SUMIFS(SX!AF$2:AF$19,SX!$B$2:$B$19,'chia CN SX'!$C28)</f>
        <v>0</v>
      </c>
      <c r="P28" s="419">
        <f>SUMIFS(SX!AG$2:AG$19,SX!$B$2:$B$19,'chia CN SX'!$C28)</f>
        <v>0</v>
      </c>
      <c r="Q28" s="419">
        <f>SUMIFS(SX!AH$2:AH$19,SX!$B$2:$B$19,'chia CN SX'!$C28)</f>
        <v>0</v>
      </c>
      <c r="R28" s="419">
        <f>SUMIFS(SX!AI$2:AI$19,SX!$B$2:$B$19,'chia CN SX'!$C28)</f>
        <v>0</v>
      </c>
      <c r="S28" s="419">
        <f>SUMIFS(SX!AJ$2:AJ$19,SX!$B$2:$B$19,'chia CN SX'!$C28)</f>
        <v>0</v>
      </c>
      <c r="V28" s="80" t="str">
        <f>'chia CN boc xe'!U28</f>
        <v>Quách Văn Chánh</v>
      </c>
      <c r="W28" s="81">
        <f t="shared" si="18"/>
        <v>0</v>
      </c>
      <c r="X28" s="81">
        <f t="shared" si="19"/>
        <v>0</v>
      </c>
      <c r="Y28" s="81">
        <f t="shared" si="20"/>
        <v>0</v>
      </c>
      <c r="Z28" s="81">
        <f t="shared" si="21"/>
        <v>0</v>
      </c>
      <c r="AA28" s="81">
        <f t="shared" si="22"/>
        <v>0</v>
      </c>
      <c r="AB28" s="81">
        <f t="shared" si="23"/>
        <v>0</v>
      </c>
      <c r="AC28" s="81">
        <f t="shared" si="24"/>
        <v>0</v>
      </c>
      <c r="AD28" s="81">
        <f t="shared" si="25"/>
        <v>0</v>
      </c>
      <c r="AE28" s="81">
        <f t="shared" si="26"/>
        <v>0</v>
      </c>
      <c r="AF28" s="81">
        <f t="shared" si="27"/>
        <v>0</v>
      </c>
      <c r="AG28" s="81">
        <f t="shared" si="28"/>
        <v>0</v>
      </c>
      <c r="AH28" s="81">
        <f t="shared" si="29"/>
        <v>0</v>
      </c>
      <c r="AI28" s="81">
        <f t="shared" si="30"/>
        <v>0</v>
      </c>
      <c r="AJ28" s="81">
        <f t="shared" si="31"/>
        <v>0</v>
      </c>
      <c r="AK28" s="81">
        <f t="shared" si="32"/>
        <v>0</v>
      </c>
    </row>
    <row r="29" spans="1:37" x14ac:dyDescent="0.25">
      <c r="A29" s="421">
        <f t="shared" si="16"/>
        <v>27</v>
      </c>
      <c r="B29" s="558" t="s">
        <v>600</v>
      </c>
      <c r="C29" s="421">
        <v>7</v>
      </c>
      <c r="D29" s="419">
        <f>SUMIFS(SX!U$2:U$19,SX!$B$2:$B$19,'chia CN SX'!$C29)</f>
        <v>0</v>
      </c>
      <c r="E29" s="419">
        <f>SUMIFS(SX!V$2:V$19,SX!$B$2:$B$19,'chia CN SX'!$C29)</f>
        <v>0</v>
      </c>
      <c r="F29" s="419">
        <f>SUMIFS(SX!W$2:W$19,SX!$B$2:$B$19,'chia CN SX'!$C29)</f>
        <v>0</v>
      </c>
      <c r="G29" s="419">
        <f>SUMIFS(SX!X$2:X$19,SX!$B$2:$B$19,'chia CN SX'!$C29)</f>
        <v>233.33333333333334</v>
      </c>
      <c r="H29" s="419">
        <f>SUMIFS(SX!Y$2:Y$19,SX!$B$2:$B$19,'chia CN SX'!$C29)</f>
        <v>0</v>
      </c>
      <c r="I29" s="419">
        <f>SUMIFS(SX!Z$2:Z$19,SX!$B$2:$B$19,'chia CN SX'!$C29)</f>
        <v>0</v>
      </c>
      <c r="J29" s="419">
        <f>SUMIFS(SX!AA$2:AA$19,SX!$B$2:$B$19,'chia CN SX'!$C29)</f>
        <v>0</v>
      </c>
      <c r="K29" s="419">
        <f>SUMIFS(SX!AB$2:AB$19,SX!$B$2:$B$19,'chia CN SX'!$C29)</f>
        <v>0</v>
      </c>
      <c r="L29" s="419">
        <f>SUMIFS(SX!AC$2:AC$19,SX!$B$2:$B$19,'chia CN SX'!$C29)</f>
        <v>0</v>
      </c>
      <c r="M29" s="419">
        <f>SUMIFS(SX!AD$2:AD$19,SX!$B$2:$B$19,'chia CN SX'!$C29)</f>
        <v>0</v>
      </c>
      <c r="N29" s="419">
        <f>SUMIFS(SX!AE$2:AE$19,SX!$B$2:$B$19,'chia CN SX'!$C29)</f>
        <v>0</v>
      </c>
      <c r="O29" s="419">
        <f>SUMIFS(SX!AF$2:AF$19,SX!$B$2:$B$19,'chia CN SX'!$C29)</f>
        <v>0</v>
      </c>
      <c r="P29" s="419">
        <f>SUMIFS(SX!AG$2:AG$19,SX!$B$2:$B$19,'chia CN SX'!$C29)</f>
        <v>0</v>
      </c>
      <c r="Q29" s="419">
        <f>SUMIFS(SX!AH$2:AH$19,SX!$B$2:$B$19,'chia CN SX'!$C29)</f>
        <v>0</v>
      </c>
      <c r="R29" s="419">
        <f>SUMIFS(SX!AI$2:AI$19,SX!$B$2:$B$19,'chia CN SX'!$C29)</f>
        <v>0</v>
      </c>
      <c r="S29" s="419">
        <f>SUMIFS(SX!AJ$2:AJ$19,SX!$B$2:$B$19,'chia CN SX'!$C29)</f>
        <v>0</v>
      </c>
      <c r="V29" s="80" t="str">
        <f>'chia CN boc xe'!U29</f>
        <v>Nguyễn Tấn Kiệt</v>
      </c>
      <c r="W29" s="81">
        <f t="shared" si="18"/>
        <v>0</v>
      </c>
      <c r="X29" s="81">
        <f t="shared" si="19"/>
        <v>0</v>
      </c>
      <c r="Y29" s="81">
        <f t="shared" si="20"/>
        <v>0</v>
      </c>
      <c r="Z29" s="81">
        <f t="shared" si="21"/>
        <v>0</v>
      </c>
      <c r="AA29" s="81">
        <f t="shared" si="22"/>
        <v>0</v>
      </c>
      <c r="AB29" s="81">
        <f t="shared" si="23"/>
        <v>0</v>
      </c>
      <c r="AC29" s="81">
        <f t="shared" si="24"/>
        <v>0</v>
      </c>
      <c r="AD29" s="81">
        <f t="shared" si="25"/>
        <v>0</v>
      </c>
      <c r="AE29" s="81">
        <f t="shared" si="26"/>
        <v>0</v>
      </c>
      <c r="AF29" s="81">
        <f t="shared" si="27"/>
        <v>0</v>
      </c>
      <c r="AG29" s="81">
        <f t="shared" si="28"/>
        <v>0</v>
      </c>
      <c r="AH29" s="81">
        <f t="shared" si="29"/>
        <v>0</v>
      </c>
      <c r="AI29" s="81">
        <f t="shared" si="30"/>
        <v>0</v>
      </c>
      <c r="AJ29" s="81">
        <f t="shared" si="31"/>
        <v>0</v>
      </c>
      <c r="AK29" s="81">
        <f t="shared" si="32"/>
        <v>0</v>
      </c>
    </row>
    <row r="30" spans="1:37" x14ac:dyDescent="0.25">
      <c r="A30" s="421">
        <f t="shared" si="16"/>
        <v>28</v>
      </c>
      <c r="B30" s="331" t="s">
        <v>604</v>
      </c>
      <c r="C30" s="421">
        <v>7</v>
      </c>
      <c r="D30" s="419">
        <f>SUMIFS(SX!U$2:U$19,SX!$B$2:$B$19,'chia CN SX'!$C30)</f>
        <v>0</v>
      </c>
      <c r="E30" s="419">
        <f>SUMIFS(SX!V$2:V$19,SX!$B$2:$B$19,'chia CN SX'!$C30)</f>
        <v>0</v>
      </c>
      <c r="F30" s="419">
        <f>SUMIFS(SX!W$2:W$19,SX!$B$2:$B$19,'chia CN SX'!$C30)</f>
        <v>0</v>
      </c>
      <c r="G30" s="419">
        <f>SUMIFS(SX!X$2:X$19,SX!$B$2:$B$19,'chia CN SX'!$C30)</f>
        <v>233.33333333333334</v>
      </c>
      <c r="H30" s="419">
        <f>SUMIFS(SX!Y$2:Y$19,SX!$B$2:$B$19,'chia CN SX'!$C30)</f>
        <v>0</v>
      </c>
      <c r="I30" s="419">
        <f>SUMIFS(SX!Z$2:Z$19,SX!$B$2:$B$19,'chia CN SX'!$C30)</f>
        <v>0</v>
      </c>
      <c r="J30" s="419">
        <f>SUMIFS(SX!AA$2:AA$19,SX!$B$2:$B$19,'chia CN SX'!$C30)</f>
        <v>0</v>
      </c>
      <c r="K30" s="419">
        <f>SUMIFS(SX!AB$2:AB$19,SX!$B$2:$B$19,'chia CN SX'!$C30)</f>
        <v>0</v>
      </c>
      <c r="L30" s="419">
        <f>SUMIFS(SX!AC$2:AC$19,SX!$B$2:$B$19,'chia CN SX'!$C30)</f>
        <v>0</v>
      </c>
      <c r="M30" s="419">
        <f>SUMIFS(SX!AD$2:AD$19,SX!$B$2:$B$19,'chia CN SX'!$C30)</f>
        <v>0</v>
      </c>
      <c r="N30" s="419">
        <f>SUMIFS(SX!AE$2:AE$19,SX!$B$2:$B$19,'chia CN SX'!$C30)</f>
        <v>0</v>
      </c>
      <c r="O30" s="419">
        <f>SUMIFS(SX!AF$2:AF$19,SX!$B$2:$B$19,'chia CN SX'!$C30)</f>
        <v>0</v>
      </c>
      <c r="P30" s="419">
        <f>SUMIFS(SX!AG$2:AG$19,SX!$B$2:$B$19,'chia CN SX'!$C30)</f>
        <v>0</v>
      </c>
      <c r="Q30" s="419">
        <f>SUMIFS(SX!AH$2:AH$19,SX!$B$2:$B$19,'chia CN SX'!$C30)</f>
        <v>0</v>
      </c>
      <c r="R30" s="419">
        <f>SUMIFS(SX!AI$2:AI$19,SX!$B$2:$B$19,'chia CN SX'!$C30)</f>
        <v>0</v>
      </c>
      <c r="S30" s="419">
        <f>SUMIFS(SX!AJ$2:AJ$19,SX!$B$2:$B$19,'chia CN SX'!$C30)</f>
        <v>0</v>
      </c>
      <c r="V30" s="80" t="e">
        <f>'chia CN boc xe'!U30</f>
        <v>#REF!</v>
      </c>
      <c r="W30" s="81">
        <f t="shared" si="18"/>
        <v>0</v>
      </c>
      <c r="X30" s="81">
        <f t="shared" si="19"/>
        <v>0</v>
      </c>
      <c r="Y30" s="81">
        <f t="shared" si="20"/>
        <v>0</v>
      </c>
      <c r="Z30" s="81">
        <f t="shared" si="21"/>
        <v>0</v>
      </c>
      <c r="AA30" s="81">
        <f t="shared" si="22"/>
        <v>0</v>
      </c>
      <c r="AB30" s="81">
        <f t="shared" si="23"/>
        <v>0</v>
      </c>
      <c r="AC30" s="81">
        <f t="shared" si="24"/>
        <v>0</v>
      </c>
      <c r="AD30" s="81">
        <f t="shared" si="25"/>
        <v>0</v>
      </c>
      <c r="AE30" s="81">
        <f t="shared" si="26"/>
        <v>0</v>
      </c>
      <c r="AF30" s="81">
        <f t="shared" si="27"/>
        <v>0</v>
      </c>
      <c r="AG30" s="81">
        <f t="shared" si="28"/>
        <v>0</v>
      </c>
      <c r="AH30" s="81">
        <f t="shared" si="29"/>
        <v>0</v>
      </c>
      <c r="AI30" s="81">
        <f t="shared" si="30"/>
        <v>0</v>
      </c>
      <c r="AJ30" s="81">
        <f t="shared" si="31"/>
        <v>0</v>
      </c>
      <c r="AK30" s="81">
        <f t="shared" si="32"/>
        <v>0</v>
      </c>
    </row>
    <row r="31" spans="1:37" x14ac:dyDescent="0.25">
      <c r="A31" s="421">
        <f t="shared" si="16"/>
        <v>29</v>
      </c>
      <c r="B31" s="557" t="s">
        <v>625</v>
      </c>
      <c r="C31" s="421">
        <v>7</v>
      </c>
      <c r="D31" s="419">
        <f>SUMIFS(SX!U$2:U$19,SX!$B$2:$B$19,'chia CN SX'!$C31)</f>
        <v>0</v>
      </c>
      <c r="E31" s="419">
        <f>SUMIFS(SX!V$2:V$19,SX!$B$2:$B$19,'chia CN SX'!$C31)</f>
        <v>0</v>
      </c>
      <c r="F31" s="419">
        <f>SUMIFS(SX!W$2:W$19,SX!$B$2:$B$19,'chia CN SX'!$C31)</f>
        <v>0</v>
      </c>
      <c r="G31" s="419">
        <f>SUMIFS(SX!X$2:X$19,SX!$B$2:$B$19,'chia CN SX'!$C31)</f>
        <v>233.33333333333334</v>
      </c>
      <c r="H31" s="419">
        <f>SUMIFS(SX!Y$2:Y$19,SX!$B$2:$B$19,'chia CN SX'!$C31)</f>
        <v>0</v>
      </c>
      <c r="I31" s="419">
        <f>SUMIFS(SX!Z$2:Z$19,SX!$B$2:$B$19,'chia CN SX'!$C31)</f>
        <v>0</v>
      </c>
      <c r="J31" s="419">
        <f>SUMIFS(SX!AA$2:AA$19,SX!$B$2:$B$19,'chia CN SX'!$C31)</f>
        <v>0</v>
      </c>
      <c r="K31" s="419">
        <f>SUMIFS(SX!AB$2:AB$19,SX!$B$2:$B$19,'chia CN SX'!$C31)</f>
        <v>0</v>
      </c>
      <c r="L31" s="419">
        <f>SUMIFS(SX!AC$2:AC$19,SX!$B$2:$B$19,'chia CN SX'!$C31)</f>
        <v>0</v>
      </c>
      <c r="M31" s="419">
        <f>SUMIFS(SX!AD$2:AD$19,SX!$B$2:$B$19,'chia CN SX'!$C31)</f>
        <v>0</v>
      </c>
      <c r="N31" s="419">
        <f>SUMIFS(SX!AE$2:AE$19,SX!$B$2:$B$19,'chia CN SX'!$C31)</f>
        <v>0</v>
      </c>
      <c r="O31" s="419">
        <f>SUMIFS(SX!AF$2:AF$19,SX!$B$2:$B$19,'chia CN SX'!$C31)</f>
        <v>0</v>
      </c>
      <c r="P31" s="419">
        <f>SUMIFS(SX!AG$2:AG$19,SX!$B$2:$B$19,'chia CN SX'!$C31)</f>
        <v>0</v>
      </c>
      <c r="Q31" s="419">
        <f>SUMIFS(SX!AH$2:AH$19,SX!$B$2:$B$19,'chia CN SX'!$C31)</f>
        <v>0</v>
      </c>
      <c r="R31" s="419">
        <f>SUMIFS(SX!AI$2:AI$19,SX!$B$2:$B$19,'chia CN SX'!$C31)</f>
        <v>0</v>
      </c>
      <c r="S31" s="419">
        <f>SUMIFS(SX!AJ$2:AJ$19,SX!$B$2:$B$19,'chia CN SX'!$C31)</f>
        <v>0</v>
      </c>
      <c r="V31" s="80" t="e">
        <f>'chia CN boc xe'!U31</f>
        <v>#REF!</v>
      </c>
      <c r="W31" s="81">
        <f t="shared" si="18"/>
        <v>0</v>
      </c>
      <c r="X31" s="81">
        <f t="shared" si="19"/>
        <v>0</v>
      </c>
      <c r="Y31" s="81">
        <f t="shared" si="20"/>
        <v>0</v>
      </c>
      <c r="Z31" s="81">
        <f t="shared" si="21"/>
        <v>0</v>
      </c>
      <c r="AA31" s="81">
        <f t="shared" si="22"/>
        <v>0</v>
      </c>
      <c r="AB31" s="81">
        <f t="shared" si="23"/>
        <v>0</v>
      </c>
      <c r="AC31" s="81">
        <f t="shared" si="24"/>
        <v>0</v>
      </c>
      <c r="AD31" s="81">
        <f t="shared" si="25"/>
        <v>0</v>
      </c>
      <c r="AE31" s="81">
        <f t="shared" si="26"/>
        <v>0</v>
      </c>
      <c r="AF31" s="81">
        <f t="shared" si="27"/>
        <v>0</v>
      </c>
      <c r="AG31" s="81">
        <f t="shared" si="28"/>
        <v>0</v>
      </c>
      <c r="AH31" s="81">
        <f t="shared" si="29"/>
        <v>0</v>
      </c>
      <c r="AI31" s="81">
        <f t="shared" si="30"/>
        <v>0</v>
      </c>
      <c r="AJ31" s="81">
        <f t="shared" si="31"/>
        <v>0</v>
      </c>
      <c r="AK31" s="81">
        <f t="shared" si="32"/>
        <v>0</v>
      </c>
    </row>
    <row r="32" spans="1:37" x14ac:dyDescent="0.25">
      <c r="A32" s="421">
        <f t="shared" si="16"/>
        <v>30</v>
      </c>
      <c r="B32" s="557" t="s">
        <v>700</v>
      </c>
      <c r="C32" s="421">
        <v>7</v>
      </c>
      <c r="D32" s="419">
        <f>SUMIFS(SX!U$2:U$19,SX!$B$2:$B$19,'chia CN SX'!$C32)</f>
        <v>0</v>
      </c>
      <c r="E32" s="419">
        <f>SUMIFS(SX!V$2:V$19,SX!$B$2:$B$19,'chia CN SX'!$C32)</f>
        <v>0</v>
      </c>
      <c r="F32" s="419">
        <f>SUMIFS(SX!W$2:W$19,SX!$B$2:$B$19,'chia CN SX'!$C32)</f>
        <v>0</v>
      </c>
      <c r="G32" s="419">
        <f>SUMIFS(SX!X$2:X$19,SX!$B$2:$B$19,'chia CN SX'!$C32)</f>
        <v>233.33333333333334</v>
      </c>
      <c r="H32" s="419">
        <f>SUMIFS(SX!Y$2:Y$19,SX!$B$2:$B$19,'chia CN SX'!$C32)</f>
        <v>0</v>
      </c>
      <c r="I32" s="419">
        <f>SUMIFS(SX!Z$2:Z$19,SX!$B$2:$B$19,'chia CN SX'!$C32)</f>
        <v>0</v>
      </c>
      <c r="J32" s="419">
        <f>SUMIFS(SX!AA$2:AA$19,SX!$B$2:$B$19,'chia CN SX'!$C32)</f>
        <v>0</v>
      </c>
      <c r="K32" s="419">
        <f>SUMIFS(SX!AB$2:AB$19,SX!$B$2:$B$19,'chia CN SX'!$C32)</f>
        <v>0</v>
      </c>
      <c r="L32" s="419">
        <f>SUMIFS(SX!AC$2:AC$19,SX!$B$2:$B$19,'chia CN SX'!$C32)</f>
        <v>0</v>
      </c>
      <c r="M32" s="419">
        <f>SUMIFS(SX!AD$2:AD$19,SX!$B$2:$B$19,'chia CN SX'!$C32)</f>
        <v>0</v>
      </c>
      <c r="N32" s="419">
        <f>SUMIFS(SX!AE$2:AE$19,SX!$B$2:$B$19,'chia CN SX'!$C32)</f>
        <v>0</v>
      </c>
      <c r="O32" s="419">
        <f>SUMIFS(SX!AF$2:AF$19,SX!$B$2:$B$19,'chia CN SX'!$C32)</f>
        <v>0</v>
      </c>
      <c r="P32" s="419">
        <f>SUMIFS(SX!AG$2:AG$19,SX!$B$2:$B$19,'chia CN SX'!$C32)</f>
        <v>0</v>
      </c>
      <c r="Q32" s="419">
        <f>SUMIFS(SX!AH$2:AH$19,SX!$B$2:$B$19,'chia CN SX'!$C32)</f>
        <v>0</v>
      </c>
      <c r="R32" s="419">
        <f>SUMIFS(SX!AI$2:AI$19,SX!$B$2:$B$19,'chia CN SX'!$C32)</f>
        <v>0</v>
      </c>
      <c r="S32" s="419">
        <f>SUMIFS(SX!AJ$2:AJ$19,SX!$B$2:$B$19,'chia CN SX'!$C32)</f>
        <v>0</v>
      </c>
      <c r="V32" s="542" t="e">
        <f>'chia CN boc xe'!U32</f>
        <v>#REF!</v>
      </c>
      <c r="W32" s="81">
        <f t="shared" si="18"/>
        <v>0</v>
      </c>
      <c r="X32" s="81">
        <f t="shared" si="19"/>
        <v>0</v>
      </c>
      <c r="Y32" s="81">
        <f t="shared" si="20"/>
        <v>0</v>
      </c>
      <c r="Z32" s="81">
        <f t="shared" si="21"/>
        <v>0</v>
      </c>
      <c r="AA32" s="81">
        <f t="shared" si="22"/>
        <v>0</v>
      </c>
      <c r="AB32" s="81">
        <f t="shared" si="23"/>
        <v>0</v>
      </c>
      <c r="AC32" s="81">
        <f t="shared" si="24"/>
        <v>0</v>
      </c>
      <c r="AD32" s="81">
        <f t="shared" si="25"/>
        <v>0</v>
      </c>
      <c r="AE32" s="81">
        <f t="shared" si="26"/>
        <v>0</v>
      </c>
      <c r="AF32" s="81">
        <f t="shared" si="27"/>
        <v>0</v>
      </c>
      <c r="AG32" s="81">
        <f t="shared" si="28"/>
        <v>0</v>
      </c>
      <c r="AH32" s="81">
        <f t="shared" si="29"/>
        <v>0</v>
      </c>
      <c r="AI32" s="81">
        <f t="shared" si="30"/>
        <v>0</v>
      </c>
      <c r="AJ32" s="81">
        <f t="shared" si="31"/>
        <v>0</v>
      </c>
      <c r="AK32" s="81">
        <f t="shared" si="32"/>
        <v>0</v>
      </c>
    </row>
    <row r="33" spans="1:37" x14ac:dyDescent="0.25">
      <c r="A33" s="421">
        <f t="shared" si="16"/>
        <v>31</v>
      </c>
      <c r="B33" s="557"/>
      <c r="C33" s="421"/>
      <c r="D33" s="419">
        <f>SUMIFS(SX!U$2:U$19,SX!$B$2:$B$19,'chia CN SX'!$C33)</f>
        <v>0</v>
      </c>
      <c r="E33" s="419">
        <f>SUMIFS(SX!V$2:V$19,SX!$B$2:$B$19,'chia CN SX'!$C33)</f>
        <v>0</v>
      </c>
      <c r="F33" s="419">
        <f>SUMIFS(SX!W$2:W$19,SX!$B$2:$B$19,'chia CN SX'!$C33)</f>
        <v>0</v>
      </c>
      <c r="G33" s="419">
        <f>SUMIFS(SX!X$2:X$19,SX!$B$2:$B$19,'chia CN SX'!$C33)</f>
        <v>0</v>
      </c>
      <c r="H33" s="419">
        <f>SUMIFS(SX!Y$2:Y$19,SX!$B$2:$B$19,'chia CN SX'!$C33)</f>
        <v>0</v>
      </c>
      <c r="I33" s="419">
        <f>SUMIFS(SX!Z$2:Z$19,SX!$B$2:$B$19,'chia CN SX'!$C33)</f>
        <v>0</v>
      </c>
      <c r="J33" s="419">
        <f>SUMIFS(SX!AA$2:AA$19,SX!$B$2:$B$19,'chia CN SX'!$C33)</f>
        <v>0</v>
      </c>
      <c r="K33" s="419">
        <f>SUMIFS(SX!AB$2:AB$19,SX!$B$2:$B$19,'chia CN SX'!$C33)</f>
        <v>0</v>
      </c>
      <c r="L33" s="419">
        <f>SUMIFS(SX!AC$2:AC$19,SX!$B$2:$B$19,'chia CN SX'!$C33)</f>
        <v>0</v>
      </c>
      <c r="M33" s="419">
        <f>SUMIFS(SX!AD$2:AD$19,SX!$B$2:$B$19,'chia CN SX'!$C33)</f>
        <v>0</v>
      </c>
      <c r="N33" s="419">
        <f>SUMIFS(SX!AE$2:AE$19,SX!$B$2:$B$19,'chia CN SX'!$C33)</f>
        <v>0</v>
      </c>
      <c r="O33" s="419">
        <f>SUMIFS(SX!AF$2:AF$19,SX!$B$2:$B$19,'chia CN SX'!$C33)</f>
        <v>0</v>
      </c>
      <c r="P33" s="419">
        <f>SUMIFS(SX!AG$2:AG$19,SX!$B$2:$B$19,'chia CN SX'!$C33)</f>
        <v>0</v>
      </c>
      <c r="Q33" s="419">
        <f>SUMIFS(SX!AH$2:AH$19,SX!$B$2:$B$19,'chia CN SX'!$C33)</f>
        <v>0</v>
      </c>
      <c r="R33" s="419">
        <f>SUMIFS(SX!AI$2:AI$19,SX!$B$2:$B$19,'chia CN SX'!$C33)</f>
        <v>0</v>
      </c>
      <c r="S33" s="419">
        <f>SUMIFS(SX!AJ$2:AJ$19,SX!$B$2:$B$19,'chia CN SX'!$C33)</f>
        <v>0</v>
      </c>
      <c r="V33" s="543" t="e">
        <f>'chia CN boc xe'!U33</f>
        <v>#REF!</v>
      </c>
      <c r="W33" s="81">
        <f t="shared" si="18"/>
        <v>0</v>
      </c>
      <c r="X33" s="81">
        <f t="shared" si="19"/>
        <v>0</v>
      </c>
      <c r="Y33" s="81">
        <f t="shared" si="20"/>
        <v>0</v>
      </c>
      <c r="Z33" s="81">
        <f t="shared" si="21"/>
        <v>0</v>
      </c>
      <c r="AA33" s="81">
        <f t="shared" si="22"/>
        <v>0</v>
      </c>
      <c r="AB33" s="81">
        <f t="shared" si="23"/>
        <v>0</v>
      </c>
      <c r="AC33" s="81">
        <f t="shared" si="24"/>
        <v>0</v>
      </c>
      <c r="AD33" s="81">
        <f t="shared" si="25"/>
        <v>0</v>
      </c>
      <c r="AE33" s="81">
        <f t="shared" si="26"/>
        <v>0</v>
      </c>
      <c r="AF33" s="81">
        <f t="shared" si="27"/>
        <v>0</v>
      </c>
      <c r="AG33" s="81">
        <f t="shared" si="28"/>
        <v>0</v>
      </c>
      <c r="AH33" s="81">
        <f t="shared" si="29"/>
        <v>0</v>
      </c>
      <c r="AI33" s="81">
        <f t="shared" si="30"/>
        <v>0</v>
      </c>
      <c r="AJ33" s="81">
        <f t="shared" si="31"/>
        <v>0</v>
      </c>
      <c r="AK33" s="81">
        <f t="shared" si="32"/>
        <v>0</v>
      </c>
    </row>
    <row r="34" spans="1:37" x14ac:dyDescent="0.25">
      <c r="A34" s="421">
        <f t="shared" si="16"/>
        <v>32</v>
      </c>
      <c r="B34" s="331"/>
      <c r="C34" s="421"/>
      <c r="D34" s="419">
        <f>SUMIFS(SX!U$2:U$19,SX!$B$2:$B$19,'chia CN SX'!$C34)</f>
        <v>0</v>
      </c>
      <c r="E34" s="419">
        <f>SUMIFS(SX!V$2:V$19,SX!$B$2:$B$19,'chia CN SX'!$C34)</f>
        <v>0</v>
      </c>
      <c r="F34" s="419">
        <f>SUMIFS(SX!W$2:W$19,SX!$B$2:$B$19,'chia CN SX'!$C34)</f>
        <v>0</v>
      </c>
      <c r="G34" s="419">
        <f>SUMIFS(SX!X$2:X$19,SX!$B$2:$B$19,'chia CN SX'!$C34)</f>
        <v>0</v>
      </c>
      <c r="H34" s="419">
        <f>SUMIFS(SX!Y$2:Y$19,SX!$B$2:$B$19,'chia CN SX'!$C34)</f>
        <v>0</v>
      </c>
      <c r="I34" s="419">
        <f>SUMIFS(SX!Z$2:Z$19,SX!$B$2:$B$19,'chia CN SX'!$C34)</f>
        <v>0</v>
      </c>
      <c r="J34" s="419">
        <f>SUMIFS(SX!AA$2:AA$19,SX!$B$2:$B$19,'chia CN SX'!$C34)</f>
        <v>0</v>
      </c>
      <c r="K34" s="419">
        <f>SUMIFS(SX!AB$2:AB$19,SX!$B$2:$B$19,'chia CN SX'!$C34)</f>
        <v>0</v>
      </c>
      <c r="L34" s="419">
        <f>SUMIFS(SX!AC$2:AC$19,SX!$B$2:$B$19,'chia CN SX'!$C34)</f>
        <v>0</v>
      </c>
      <c r="M34" s="419">
        <f>SUMIFS(SX!AD$2:AD$19,SX!$B$2:$B$19,'chia CN SX'!$C34)</f>
        <v>0</v>
      </c>
      <c r="N34" s="419">
        <f>SUMIFS(SX!AE$2:AE$19,SX!$B$2:$B$19,'chia CN SX'!$C34)</f>
        <v>0</v>
      </c>
      <c r="O34" s="419">
        <f>SUMIFS(SX!AF$2:AF$19,SX!$B$2:$B$19,'chia CN SX'!$C34)</f>
        <v>0</v>
      </c>
      <c r="P34" s="419">
        <f>SUMIFS(SX!AG$2:AG$19,SX!$B$2:$B$19,'chia CN SX'!$C34)</f>
        <v>0</v>
      </c>
      <c r="Q34" s="419">
        <f>SUMIFS(SX!AH$2:AH$19,SX!$B$2:$B$19,'chia CN SX'!$C34)</f>
        <v>0</v>
      </c>
      <c r="R34" s="419">
        <f>SUMIFS(SX!AI$2:AI$19,SX!$B$2:$B$19,'chia CN SX'!$C34)</f>
        <v>0</v>
      </c>
      <c r="S34" s="419">
        <f>SUMIFS(SX!AJ$2:AJ$19,SX!$B$2:$B$19,'chia CN SX'!$C34)</f>
        <v>0</v>
      </c>
      <c r="V34" s="80" t="str">
        <f>'chia CN boc xe'!U34</f>
        <v>Kim Em</v>
      </c>
      <c r="W34" s="81">
        <f t="shared" ref="W34:W39" si="33">SUMIF($B$3:$B$114,$V34,D$3:D$114)</f>
        <v>0</v>
      </c>
      <c r="X34" s="81">
        <f t="shared" si="19"/>
        <v>0</v>
      </c>
      <c r="Y34" s="81">
        <f t="shared" si="20"/>
        <v>0</v>
      </c>
      <c r="Z34" s="81">
        <f t="shared" si="21"/>
        <v>0</v>
      </c>
      <c r="AA34" s="81">
        <f t="shared" si="22"/>
        <v>0</v>
      </c>
      <c r="AB34" s="81">
        <f t="shared" si="23"/>
        <v>0</v>
      </c>
      <c r="AC34" s="81">
        <f t="shared" si="24"/>
        <v>0</v>
      </c>
      <c r="AD34" s="81">
        <f t="shared" si="25"/>
        <v>0</v>
      </c>
      <c r="AE34" s="81">
        <f t="shared" si="26"/>
        <v>0</v>
      </c>
      <c r="AF34" s="81">
        <f t="shared" si="27"/>
        <v>0</v>
      </c>
      <c r="AG34" s="81">
        <f t="shared" si="28"/>
        <v>0</v>
      </c>
      <c r="AH34" s="81">
        <f t="shared" si="29"/>
        <v>0</v>
      </c>
      <c r="AI34" s="81">
        <f t="shared" si="30"/>
        <v>0</v>
      </c>
      <c r="AJ34" s="81">
        <f t="shared" si="31"/>
        <v>0</v>
      </c>
      <c r="AK34" s="81">
        <f t="shared" si="32"/>
        <v>0</v>
      </c>
    </row>
    <row r="35" spans="1:37" x14ac:dyDescent="0.25">
      <c r="A35" s="421">
        <f t="shared" si="16"/>
        <v>33</v>
      </c>
      <c r="B35" s="558"/>
      <c r="C35" s="421"/>
      <c r="D35" s="419">
        <f>SUMIFS(SX!U$2:U$19,SX!$B$2:$B$19,'chia CN SX'!$C35)</f>
        <v>0</v>
      </c>
      <c r="E35" s="419">
        <f>SUMIFS(SX!V$2:V$19,SX!$B$2:$B$19,'chia CN SX'!$C35)</f>
        <v>0</v>
      </c>
      <c r="F35" s="419">
        <f>SUMIFS(SX!W$2:W$19,SX!$B$2:$B$19,'chia CN SX'!$C35)</f>
        <v>0</v>
      </c>
      <c r="G35" s="419">
        <f>SUMIFS(SX!X$2:X$19,SX!$B$2:$B$19,'chia CN SX'!$C35)</f>
        <v>0</v>
      </c>
      <c r="H35" s="419">
        <f>SUMIFS(SX!Y$2:Y$19,SX!$B$2:$B$19,'chia CN SX'!$C35)</f>
        <v>0</v>
      </c>
      <c r="I35" s="419">
        <f>SUMIFS(SX!Z$2:Z$19,SX!$B$2:$B$19,'chia CN SX'!$C35)</f>
        <v>0</v>
      </c>
      <c r="J35" s="419">
        <f>SUMIFS(SX!AA$2:AA$19,SX!$B$2:$B$19,'chia CN SX'!$C35)</f>
        <v>0</v>
      </c>
      <c r="K35" s="419">
        <f>SUMIFS(SX!AB$2:AB$19,SX!$B$2:$B$19,'chia CN SX'!$C35)</f>
        <v>0</v>
      </c>
      <c r="L35" s="419">
        <f>SUMIFS(SX!AC$2:AC$19,SX!$B$2:$B$19,'chia CN SX'!$C35)</f>
        <v>0</v>
      </c>
      <c r="M35" s="419">
        <f>SUMIFS(SX!AD$2:AD$19,SX!$B$2:$B$19,'chia CN SX'!$C35)</f>
        <v>0</v>
      </c>
      <c r="N35" s="419">
        <f>SUMIFS(SX!AE$2:AE$19,SX!$B$2:$B$19,'chia CN SX'!$C35)</f>
        <v>0</v>
      </c>
      <c r="O35" s="419">
        <f>SUMIFS(SX!AF$2:AF$19,SX!$B$2:$B$19,'chia CN SX'!$C35)</f>
        <v>0</v>
      </c>
      <c r="P35" s="419">
        <f>SUMIFS(SX!AG$2:AG$19,SX!$B$2:$B$19,'chia CN SX'!$C35)</f>
        <v>0</v>
      </c>
      <c r="Q35" s="419">
        <f>SUMIFS(SX!AH$2:AH$19,SX!$B$2:$B$19,'chia CN SX'!$C35)</f>
        <v>0</v>
      </c>
      <c r="R35" s="419">
        <f>SUMIFS(SX!AI$2:AI$19,SX!$B$2:$B$19,'chia CN SX'!$C35)</f>
        <v>0</v>
      </c>
      <c r="S35" s="419">
        <f>SUMIFS(SX!AJ$2:AJ$19,SX!$B$2:$B$19,'chia CN SX'!$C35)</f>
        <v>0</v>
      </c>
      <c r="V35" s="542" t="e">
        <f>'chia CN boc xe'!U35</f>
        <v>#REF!</v>
      </c>
      <c r="W35" s="81">
        <f t="shared" si="33"/>
        <v>0</v>
      </c>
      <c r="X35" s="81">
        <f t="shared" ref="X35:X72" si="34">SUMIF($B$3:$B$114,$V35,E$3:E$114)</f>
        <v>0</v>
      </c>
      <c r="Y35" s="81">
        <f t="shared" ref="Y35:Y72" si="35">SUMIF($B$3:$B$114,$V35,F$3:F$114)</f>
        <v>0</v>
      </c>
      <c r="Z35" s="81">
        <f t="shared" ref="Z35:Z72" si="36">SUMIF($B$3:$B$114,$V35,G$3:G$114)</f>
        <v>0</v>
      </c>
      <c r="AA35" s="81">
        <f t="shared" ref="AA35:AA72" si="37">SUMIF($B$3:$B$114,$V35,H$3:H$114)</f>
        <v>0</v>
      </c>
      <c r="AB35" s="81">
        <f t="shared" ref="AB35:AB72" si="38">SUMIF($B$3:$B$114,$V35,I$3:I$114)</f>
        <v>0</v>
      </c>
      <c r="AC35" s="81">
        <f t="shared" ref="AC35:AC72" si="39">SUMIF($B$3:$B$114,$V35,J$3:J$114)</f>
        <v>0</v>
      </c>
      <c r="AD35" s="81">
        <f t="shared" ref="AD35:AD72" si="40">SUMIF($B$3:$B$114,$V35,K$3:K$114)</f>
        <v>0</v>
      </c>
      <c r="AE35" s="81">
        <f t="shared" ref="AE35:AE72" si="41">SUMIF($B$3:$B$114,$V35,L$3:L$114)</f>
        <v>0</v>
      </c>
      <c r="AF35" s="81">
        <f t="shared" ref="AF35:AF72" si="42">SUMIF($B$3:$B$114,$V35,M$3:M$114)</f>
        <v>0</v>
      </c>
      <c r="AG35" s="81">
        <f t="shared" ref="AG35:AG72" si="43">SUMIF($B$3:$B$114,$V35,N$3:N$114)</f>
        <v>0</v>
      </c>
      <c r="AH35" s="81">
        <f t="shared" ref="AH35:AH72" si="44">SUMIF($B$3:$B$114,$V35,O$3:O$114)</f>
        <v>0</v>
      </c>
      <c r="AI35" s="81">
        <f t="shared" ref="AI35:AI72" si="45">SUMIF($B$3:$B$114,$V35,P$3:P$114)</f>
        <v>0</v>
      </c>
      <c r="AJ35" s="81">
        <f t="shared" ref="AJ35:AJ72" si="46">SUMIF($B$3:$B$114,$V35,Q$3:Q$114)</f>
        <v>0</v>
      </c>
      <c r="AK35" s="81">
        <f t="shared" ref="AK35:AK72" si="47">SUMIF($B$3:$B$114,$V35,R$3:R$114)</f>
        <v>0</v>
      </c>
    </row>
    <row r="36" spans="1:37" x14ac:dyDescent="0.25">
      <c r="A36" s="421">
        <f t="shared" si="16"/>
        <v>34</v>
      </c>
      <c r="B36" s="557"/>
      <c r="C36" s="421"/>
      <c r="D36" s="419">
        <f>SUMIFS(SX!U$2:U$19,SX!$B$2:$B$19,'chia CN SX'!$C36)</f>
        <v>0</v>
      </c>
      <c r="E36" s="419">
        <f>SUMIFS(SX!V$2:V$19,SX!$B$2:$B$19,'chia CN SX'!$C36)</f>
        <v>0</v>
      </c>
      <c r="F36" s="419">
        <f>SUMIFS(SX!W$2:W$19,SX!$B$2:$B$19,'chia CN SX'!$C36)</f>
        <v>0</v>
      </c>
      <c r="G36" s="419">
        <f>SUMIFS(SX!X$2:X$19,SX!$B$2:$B$19,'chia CN SX'!$C36)</f>
        <v>0</v>
      </c>
      <c r="H36" s="419">
        <f>SUMIFS(SX!Y$2:Y$19,SX!$B$2:$B$19,'chia CN SX'!$C36)</f>
        <v>0</v>
      </c>
      <c r="I36" s="419">
        <f>SUMIFS(SX!Z$2:Z$19,SX!$B$2:$B$19,'chia CN SX'!$C36)</f>
        <v>0</v>
      </c>
      <c r="J36" s="419">
        <f>SUMIFS(SX!AA$2:AA$19,SX!$B$2:$B$19,'chia CN SX'!$C36)</f>
        <v>0</v>
      </c>
      <c r="K36" s="419">
        <f>SUMIFS(SX!AB$2:AB$19,SX!$B$2:$B$19,'chia CN SX'!$C36)</f>
        <v>0</v>
      </c>
      <c r="L36" s="419">
        <f>SUMIFS(SX!AC$2:AC$19,SX!$B$2:$B$19,'chia CN SX'!$C36)</f>
        <v>0</v>
      </c>
      <c r="M36" s="419">
        <f>SUMIFS(SX!AD$2:AD$19,SX!$B$2:$B$19,'chia CN SX'!$C36)</f>
        <v>0</v>
      </c>
      <c r="N36" s="419">
        <f>SUMIFS(SX!AE$2:AE$19,SX!$B$2:$B$19,'chia CN SX'!$C36)</f>
        <v>0</v>
      </c>
      <c r="O36" s="419">
        <f>SUMIFS(SX!AF$2:AF$19,SX!$B$2:$B$19,'chia CN SX'!$C36)</f>
        <v>0</v>
      </c>
      <c r="P36" s="419">
        <f>SUMIFS(SX!AG$2:AG$19,SX!$B$2:$B$19,'chia CN SX'!$C36)</f>
        <v>0</v>
      </c>
      <c r="Q36" s="419">
        <f>SUMIFS(SX!AH$2:AH$19,SX!$B$2:$B$19,'chia CN SX'!$C36)</f>
        <v>0</v>
      </c>
      <c r="R36" s="419">
        <f>SUMIFS(SX!AI$2:AI$19,SX!$B$2:$B$19,'chia CN SX'!$C36)</f>
        <v>0</v>
      </c>
      <c r="S36" s="419">
        <f>SUMIFS(SX!AJ$2:AJ$19,SX!$B$2:$B$19,'chia CN SX'!$C36)</f>
        <v>0</v>
      </c>
      <c r="V36" s="542" t="e">
        <f>'chia CN boc xe'!U36</f>
        <v>#REF!</v>
      </c>
      <c r="W36" s="81">
        <f t="shared" si="33"/>
        <v>0</v>
      </c>
      <c r="X36" s="81">
        <f t="shared" si="34"/>
        <v>0</v>
      </c>
      <c r="Y36" s="81">
        <f t="shared" si="35"/>
        <v>0</v>
      </c>
      <c r="Z36" s="81">
        <f t="shared" si="36"/>
        <v>0</v>
      </c>
      <c r="AA36" s="81">
        <f t="shared" si="37"/>
        <v>0</v>
      </c>
      <c r="AB36" s="81">
        <f t="shared" si="38"/>
        <v>0</v>
      </c>
      <c r="AC36" s="81">
        <f t="shared" si="39"/>
        <v>0</v>
      </c>
      <c r="AD36" s="81">
        <f t="shared" si="40"/>
        <v>0</v>
      </c>
      <c r="AE36" s="81">
        <f t="shared" si="41"/>
        <v>0</v>
      </c>
      <c r="AF36" s="81">
        <f t="shared" si="42"/>
        <v>0</v>
      </c>
      <c r="AG36" s="81">
        <f t="shared" si="43"/>
        <v>0</v>
      </c>
      <c r="AH36" s="81">
        <f t="shared" si="44"/>
        <v>0</v>
      </c>
      <c r="AI36" s="81">
        <f t="shared" si="45"/>
        <v>0</v>
      </c>
      <c r="AJ36" s="81">
        <f t="shared" si="46"/>
        <v>0</v>
      </c>
      <c r="AK36" s="81">
        <f t="shared" si="47"/>
        <v>0</v>
      </c>
    </row>
    <row r="37" spans="1:37" x14ac:dyDescent="0.25">
      <c r="A37" s="421">
        <f t="shared" si="16"/>
        <v>35</v>
      </c>
      <c r="B37" s="557"/>
      <c r="C37" s="421"/>
      <c r="D37" s="419">
        <f>SUMIFS(SX!U$2:U$19,SX!$B$2:$B$19,'chia CN SX'!$C37)</f>
        <v>0</v>
      </c>
      <c r="E37" s="419">
        <f>SUMIFS(SX!V$2:V$19,SX!$B$2:$B$19,'chia CN SX'!$C37)</f>
        <v>0</v>
      </c>
      <c r="F37" s="419">
        <f>SUMIFS(SX!W$2:W$19,SX!$B$2:$B$19,'chia CN SX'!$C37)</f>
        <v>0</v>
      </c>
      <c r="G37" s="419">
        <f>SUMIFS(SX!X$2:X$19,SX!$B$2:$B$19,'chia CN SX'!$C37)</f>
        <v>0</v>
      </c>
      <c r="H37" s="419">
        <f>SUMIFS(SX!Y$2:Y$19,SX!$B$2:$B$19,'chia CN SX'!$C37)</f>
        <v>0</v>
      </c>
      <c r="I37" s="419">
        <f>SUMIFS(SX!Z$2:Z$19,SX!$B$2:$B$19,'chia CN SX'!$C37)</f>
        <v>0</v>
      </c>
      <c r="J37" s="419">
        <f>SUMIFS(SX!AA$2:AA$19,SX!$B$2:$B$19,'chia CN SX'!$C37)</f>
        <v>0</v>
      </c>
      <c r="K37" s="419">
        <f>SUMIFS(SX!AB$2:AB$19,SX!$B$2:$B$19,'chia CN SX'!$C37)</f>
        <v>0</v>
      </c>
      <c r="L37" s="419">
        <f>SUMIFS(SX!AC$2:AC$19,SX!$B$2:$B$19,'chia CN SX'!$C37)</f>
        <v>0</v>
      </c>
      <c r="M37" s="419">
        <f>SUMIFS(SX!AD$2:AD$19,SX!$B$2:$B$19,'chia CN SX'!$C37)</f>
        <v>0</v>
      </c>
      <c r="N37" s="419">
        <f>SUMIFS(SX!AE$2:AE$19,SX!$B$2:$B$19,'chia CN SX'!$C37)</f>
        <v>0</v>
      </c>
      <c r="O37" s="419">
        <f>SUMIFS(SX!AF$2:AF$19,SX!$B$2:$B$19,'chia CN SX'!$C37)</f>
        <v>0</v>
      </c>
      <c r="P37" s="419">
        <f>SUMIFS(SX!AG$2:AG$19,SX!$B$2:$B$19,'chia CN SX'!$C37)</f>
        <v>0</v>
      </c>
      <c r="Q37" s="419">
        <f>SUMIFS(SX!AH$2:AH$19,SX!$B$2:$B$19,'chia CN SX'!$C37)</f>
        <v>0</v>
      </c>
      <c r="R37" s="419">
        <f>SUMIFS(SX!AI$2:AI$19,SX!$B$2:$B$19,'chia CN SX'!$C37)</f>
        <v>0</v>
      </c>
      <c r="S37" s="419">
        <f>SUMIFS(SX!AJ$2:AJ$19,SX!$B$2:$B$19,'chia CN SX'!$C37)</f>
        <v>0</v>
      </c>
      <c r="V37" s="542" t="e">
        <f>'chia CN boc xe'!U37</f>
        <v>#REF!</v>
      </c>
      <c r="W37" s="81">
        <f t="shared" si="33"/>
        <v>0</v>
      </c>
      <c r="X37" s="81">
        <f t="shared" si="34"/>
        <v>0</v>
      </c>
      <c r="Y37" s="81">
        <f t="shared" si="35"/>
        <v>0</v>
      </c>
      <c r="Z37" s="81">
        <f t="shared" si="36"/>
        <v>0</v>
      </c>
      <c r="AA37" s="81">
        <f t="shared" si="37"/>
        <v>0</v>
      </c>
      <c r="AB37" s="81">
        <f t="shared" si="38"/>
        <v>0</v>
      </c>
      <c r="AC37" s="81">
        <f t="shared" si="39"/>
        <v>0</v>
      </c>
      <c r="AD37" s="81">
        <f t="shared" si="40"/>
        <v>0</v>
      </c>
      <c r="AE37" s="81">
        <f t="shared" si="41"/>
        <v>0</v>
      </c>
      <c r="AF37" s="81">
        <f t="shared" si="42"/>
        <v>0</v>
      </c>
      <c r="AG37" s="81">
        <f t="shared" si="43"/>
        <v>0</v>
      </c>
      <c r="AH37" s="81">
        <f t="shared" si="44"/>
        <v>0</v>
      </c>
      <c r="AI37" s="81">
        <f t="shared" si="45"/>
        <v>0</v>
      </c>
      <c r="AJ37" s="81">
        <f t="shared" si="46"/>
        <v>0</v>
      </c>
      <c r="AK37" s="81">
        <f t="shared" si="47"/>
        <v>0</v>
      </c>
    </row>
    <row r="38" spans="1:37" x14ac:dyDescent="0.25">
      <c r="A38" s="421">
        <f t="shared" si="16"/>
        <v>36</v>
      </c>
      <c r="B38" s="331"/>
      <c r="C38" s="421"/>
      <c r="D38" s="419">
        <f>SUMIFS(SX!U$2:U$19,SX!$B$2:$B$19,'chia CN SX'!$C38)</f>
        <v>0</v>
      </c>
      <c r="E38" s="419">
        <f>SUMIFS(SX!V$2:V$19,SX!$B$2:$B$19,'chia CN SX'!$C38)</f>
        <v>0</v>
      </c>
      <c r="F38" s="419">
        <f>SUMIFS(SX!W$2:W$19,SX!$B$2:$B$19,'chia CN SX'!$C38)</f>
        <v>0</v>
      </c>
      <c r="G38" s="419">
        <f>SUMIFS(SX!X$2:X$19,SX!$B$2:$B$19,'chia CN SX'!$C38)</f>
        <v>0</v>
      </c>
      <c r="H38" s="419">
        <f>SUMIFS(SX!Y$2:Y$19,SX!$B$2:$B$19,'chia CN SX'!$C38)</f>
        <v>0</v>
      </c>
      <c r="I38" s="419">
        <f>SUMIFS(SX!Z$2:Z$19,SX!$B$2:$B$19,'chia CN SX'!$C38)</f>
        <v>0</v>
      </c>
      <c r="J38" s="419">
        <f>SUMIFS(SX!AA$2:AA$19,SX!$B$2:$B$19,'chia CN SX'!$C38)</f>
        <v>0</v>
      </c>
      <c r="K38" s="419">
        <f>SUMIFS(SX!AB$2:AB$19,SX!$B$2:$B$19,'chia CN SX'!$C38)</f>
        <v>0</v>
      </c>
      <c r="L38" s="419">
        <f>SUMIFS(SX!AC$2:AC$19,SX!$B$2:$B$19,'chia CN SX'!$C38)</f>
        <v>0</v>
      </c>
      <c r="M38" s="419">
        <f>SUMIFS(SX!AD$2:AD$19,SX!$B$2:$B$19,'chia CN SX'!$C38)</f>
        <v>0</v>
      </c>
      <c r="N38" s="419">
        <f>SUMIFS(SX!AE$2:AE$19,SX!$B$2:$B$19,'chia CN SX'!$C38)</f>
        <v>0</v>
      </c>
      <c r="O38" s="419">
        <f>SUMIFS(SX!AF$2:AF$19,SX!$B$2:$B$19,'chia CN SX'!$C38)</f>
        <v>0</v>
      </c>
      <c r="P38" s="419">
        <f>SUMIFS(SX!AG$2:AG$19,SX!$B$2:$B$19,'chia CN SX'!$C38)</f>
        <v>0</v>
      </c>
      <c r="Q38" s="419">
        <f>SUMIFS(SX!AH$2:AH$19,SX!$B$2:$B$19,'chia CN SX'!$C38)</f>
        <v>0</v>
      </c>
      <c r="R38" s="419">
        <f>SUMIFS(SX!AI$2:AI$19,SX!$B$2:$B$19,'chia CN SX'!$C38)</f>
        <v>0</v>
      </c>
      <c r="S38" s="419">
        <f>SUMIFS(SX!AJ$2:AJ$19,SX!$B$2:$B$19,'chia CN SX'!$C38)</f>
        <v>0</v>
      </c>
      <c r="V38" s="543" t="e">
        <f>'chia CN boc xe'!U38</f>
        <v>#REF!</v>
      </c>
      <c r="W38" s="81">
        <f t="shared" si="33"/>
        <v>0</v>
      </c>
      <c r="X38" s="81">
        <f t="shared" si="34"/>
        <v>0</v>
      </c>
      <c r="Y38" s="81">
        <f t="shared" si="35"/>
        <v>0</v>
      </c>
      <c r="Z38" s="81">
        <f t="shared" si="36"/>
        <v>0</v>
      </c>
      <c r="AA38" s="81">
        <f t="shared" si="37"/>
        <v>0</v>
      </c>
      <c r="AB38" s="81">
        <f t="shared" si="38"/>
        <v>0</v>
      </c>
      <c r="AC38" s="81">
        <f t="shared" si="39"/>
        <v>0</v>
      </c>
      <c r="AD38" s="81">
        <f t="shared" si="40"/>
        <v>0</v>
      </c>
      <c r="AE38" s="81">
        <f t="shared" si="41"/>
        <v>0</v>
      </c>
      <c r="AF38" s="81">
        <f t="shared" si="42"/>
        <v>0</v>
      </c>
      <c r="AG38" s="81">
        <f t="shared" si="43"/>
        <v>0</v>
      </c>
      <c r="AH38" s="81">
        <f t="shared" si="44"/>
        <v>0</v>
      </c>
      <c r="AI38" s="81">
        <f t="shared" si="45"/>
        <v>0</v>
      </c>
      <c r="AJ38" s="81">
        <f t="shared" si="46"/>
        <v>0</v>
      </c>
      <c r="AK38" s="81">
        <f t="shared" si="47"/>
        <v>0</v>
      </c>
    </row>
    <row r="39" spans="1:37" x14ac:dyDescent="0.25">
      <c r="A39" s="421">
        <f t="shared" si="16"/>
        <v>37</v>
      </c>
      <c r="B39" s="557"/>
      <c r="C39" s="421"/>
      <c r="D39" s="419">
        <f>SUMIFS(SX!U$2:U$19,SX!$B$2:$B$19,'chia CN SX'!$C39)</f>
        <v>0</v>
      </c>
      <c r="E39" s="419">
        <f>SUMIFS(SX!V$2:V$19,SX!$B$2:$B$19,'chia CN SX'!$C39)</f>
        <v>0</v>
      </c>
      <c r="F39" s="419">
        <f>SUMIFS(SX!W$2:W$19,SX!$B$2:$B$19,'chia CN SX'!$C39)</f>
        <v>0</v>
      </c>
      <c r="G39" s="419">
        <f>SUMIFS(SX!X$2:X$19,SX!$B$2:$B$19,'chia CN SX'!$C39)</f>
        <v>0</v>
      </c>
      <c r="H39" s="419">
        <f>SUMIFS(SX!Y$2:Y$19,SX!$B$2:$B$19,'chia CN SX'!$C39)</f>
        <v>0</v>
      </c>
      <c r="I39" s="419">
        <f>SUMIFS(SX!Z$2:Z$19,SX!$B$2:$B$19,'chia CN SX'!$C39)</f>
        <v>0</v>
      </c>
      <c r="J39" s="419">
        <f>SUMIFS(SX!AA$2:AA$19,SX!$B$2:$B$19,'chia CN SX'!$C39)</f>
        <v>0</v>
      </c>
      <c r="K39" s="419">
        <f>SUMIFS(SX!AB$2:AB$19,SX!$B$2:$B$19,'chia CN SX'!$C39)</f>
        <v>0</v>
      </c>
      <c r="L39" s="419">
        <f>SUMIFS(SX!AC$2:AC$19,SX!$B$2:$B$19,'chia CN SX'!$C39)</f>
        <v>0</v>
      </c>
      <c r="M39" s="419">
        <f>SUMIFS(SX!AD$2:AD$19,SX!$B$2:$B$19,'chia CN SX'!$C39)</f>
        <v>0</v>
      </c>
      <c r="N39" s="419">
        <f>SUMIFS(SX!AE$2:AE$19,SX!$B$2:$B$19,'chia CN SX'!$C39)</f>
        <v>0</v>
      </c>
      <c r="O39" s="419">
        <f>SUMIFS(SX!AF$2:AF$19,SX!$B$2:$B$19,'chia CN SX'!$C39)</f>
        <v>0</v>
      </c>
      <c r="P39" s="419">
        <f>SUMIFS(SX!AG$2:AG$19,SX!$B$2:$B$19,'chia CN SX'!$C39)</f>
        <v>0</v>
      </c>
      <c r="Q39" s="419">
        <f>SUMIFS(SX!AH$2:AH$19,SX!$B$2:$B$19,'chia CN SX'!$C39)</f>
        <v>0</v>
      </c>
      <c r="R39" s="419">
        <f>SUMIFS(SX!AI$2:AI$19,SX!$B$2:$B$19,'chia CN SX'!$C39)</f>
        <v>0</v>
      </c>
      <c r="S39" s="419">
        <f>SUMIFS(SX!AJ$2:AJ$19,SX!$B$2:$B$19,'chia CN SX'!$C39)</f>
        <v>0</v>
      </c>
      <c r="V39" s="80" t="e">
        <f>'chia CN boc xe'!U39</f>
        <v>#REF!</v>
      </c>
      <c r="W39" s="81">
        <f t="shared" si="33"/>
        <v>0</v>
      </c>
      <c r="X39" s="81">
        <f t="shared" si="34"/>
        <v>0</v>
      </c>
      <c r="Y39" s="81">
        <f t="shared" si="35"/>
        <v>0</v>
      </c>
      <c r="Z39" s="81">
        <f t="shared" si="36"/>
        <v>0</v>
      </c>
      <c r="AA39" s="81">
        <f t="shared" si="37"/>
        <v>0</v>
      </c>
      <c r="AB39" s="81">
        <f t="shared" si="38"/>
        <v>0</v>
      </c>
      <c r="AC39" s="81">
        <f t="shared" si="39"/>
        <v>0</v>
      </c>
      <c r="AD39" s="81">
        <f t="shared" si="40"/>
        <v>0</v>
      </c>
      <c r="AE39" s="81">
        <f t="shared" si="41"/>
        <v>0</v>
      </c>
      <c r="AF39" s="81">
        <f t="shared" si="42"/>
        <v>0</v>
      </c>
      <c r="AG39" s="81">
        <f t="shared" si="43"/>
        <v>0</v>
      </c>
      <c r="AH39" s="81">
        <f t="shared" si="44"/>
        <v>0</v>
      </c>
      <c r="AI39" s="81">
        <f t="shared" si="45"/>
        <v>0</v>
      </c>
      <c r="AJ39" s="81">
        <f t="shared" si="46"/>
        <v>0</v>
      </c>
      <c r="AK39" s="81">
        <f t="shared" si="47"/>
        <v>0</v>
      </c>
    </row>
    <row r="40" spans="1:37" x14ac:dyDescent="0.25">
      <c r="A40" s="421">
        <f t="shared" si="16"/>
        <v>38</v>
      </c>
      <c r="B40" s="557"/>
      <c r="C40" s="421"/>
      <c r="D40" s="419">
        <f>SUMIFS(SX!U$2:U$19,SX!$B$2:$B$19,'chia CN SX'!$C40)</f>
        <v>0</v>
      </c>
      <c r="E40" s="419">
        <f>SUMIFS(SX!V$2:V$19,SX!$B$2:$B$19,'chia CN SX'!$C40)</f>
        <v>0</v>
      </c>
      <c r="F40" s="419">
        <f>SUMIFS(SX!W$2:W$19,SX!$B$2:$B$19,'chia CN SX'!$C40)</f>
        <v>0</v>
      </c>
      <c r="G40" s="419">
        <f>SUMIFS(SX!X$2:X$19,SX!$B$2:$B$19,'chia CN SX'!$C40)</f>
        <v>0</v>
      </c>
      <c r="H40" s="419">
        <f>SUMIFS(SX!Y$2:Y$19,SX!$B$2:$B$19,'chia CN SX'!$C40)</f>
        <v>0</v>
      </c>
      <c r="I40" s="419">
        <f>SUMIFS(SX!Z$2:Z$19,SX!$B$2:$B$19,'chia CN SX'!$C40)</f>
        <v>0</v>
      </c>
      <c r="J40" s="419">
        <f>SUMIFS(SX!AA$2:AA$19,SX!$B$2:$B$19,'chia CN SX'!$C40)</f>
        <v>0</v>
      </c>
      <c r="K40" s="419">
        <f>SUMIFS(SX!AB$2:AB$19,SX!$B$2:$B$19,'chia CN SX'!$C40)</f>
        <v>0</v>
      </c>
      <c r="L40" s="419">
        <f>SUMIFS(SX!AC$2:AC$19,SX!$B$2:$B$19,'chia CN SX'!$C40)</f>
        <v>0</v>
      </c>
      <c r="M40" s="419">
        <f>SUMIFS(SX!AD$2:AD$19,SX!$B$2:$B$19,'chia CN SX'!$C40)</f>
        <v>0</v>
      </c>
      <c r="N40" s="419">
        <f>SUMIFS(SX!AE$2:AE$19,SX!$B$2:$B$19,'chia CN SX'!$C40)</f>
        <v>0</v>
      </c>
      <c r="O40" s="419">
        <f>SUMIFS(SX!AF$2:AF$19,SX!$B$2:$B$19,'chia CN SX'!$C40)</f>
        <v>0</v>
      </c>
      <c r="P40" s="419">
        <f>SUMIFS(SX!AG$2:AG$19,SX!$B$2:$B$19,'chia CN SX'!$C40)</f>
        <v>0</v>
      </c>
      <c r="Q40" s="419">
        <f>SUMIFS(SX!AH$2:AH$19,SX!$B$2:$B$19,'chia CN SX'!$C40)</f>
        <v>0</v>
      </c>
      <c r="R40" s="419">
        <f>SUMIFS(SX!AI$2:AI$19,SX!$B$2:$B$19,'chia CN SX'!$C40)</f>
        <v>0</v>
      </c>
      <c r="S40" s="419">
        <f>SUMIFS(SX!AJ$2:AJ$19,SX!$B$2:$B$19,'chia CN SX'!$C40)</f>
        <v>0</v>
      </c>
      <c r="V40" s="542" t="e">
        <f>'chia CN boc xe'!U40</f>
        <v>#REF!</v>
      </c>
      <c r="W40" s="81">
        <f t="shared" ref="W40:W52" si="48">SUMIF($B$3:$B$114,$V40,D$3:D$114)</f>
        <v>0</v>
      </c>
      <c r="X40" s="81">
        <f t="shared" si="34"/>
        <v>0</v>
      </c>
      <c r="Y40" s="81">
        <f t="shared" si="35"/>
        <v>0</v>
      </c>
      <c r="Z40" s="81">
        <f t="shared" si="36"/>
        <v>0</v>
      </c>
      <c r="AA40" s="81">
        <f t="shared" si="37"/>
        <v>0</v>
      </c>
      <c r="AB40" s="81">
        <f t="shared" si="38"/>
        <v>0</v>
      </c>
      <c r="AC40" s="81">
        <f t="shared" si="39"/>
        <v>0</v>
      </c>
      <c r="AD40" s="81">
        <f t="shared" si="40"/>
        <v>0</v>
      </c>
      <c r="AE40" s="81">
        <f t="shared" si="41"/>
        <v>0</v>
      </c>
      <c r="AF40" s="81">
        <f t="shared" si="42"/>
        <v>0</v>
      </c>
      <c r="AG40" s="81">
        <f t="shared" si="43"/>
        <v>0</v>
      </c>
      <c r="AH40" s="81">
        <f t="shared" si="44"/>
        <v>0</v>
      </c>
      <c r="AI40" s="81">
        <f t="shared" si="45"/>
        <v>0</v>
      </c>
      <c r="AJ40" s="81">
        <f t="shared" si="46"/>
        <v>0</v>
      </c>
      <c r="AK40" s="81">
        <f t="shared" si="47"/>
        <v>0</v>
      </c>
    </row>
    <row r="41" spans="1:37" x14ac:dyDescent="0.25">
      <c r="A41" s="421">
        <f t="shared" si="16"/>
        <v>39</v>
      </c>
      <c r="B41" s="557"/>
      <c r="C41" s="421"/>
      <c r="D41" s="419">
        <f>SUMIFS(SX!U$2:U$19,SX!$B$2:$B$19,'chia CN SX'!$C41)</f>
        <v>0</v>
      </c>
      <c r="E41" s="419">
        <f>SUMIFS(SX!V$2:V$19,SX!$B$2:$B$19,'chia CN SX'!$C41)</f>
        <v>0</v>
      </c>
      <c r="F41" s="419">
        <f>SUMIFS(SX!W$2:W$19,SX!$B$2:$B$19,'chia CN SX'!$C41)</f>
        <v>0</v>
      </c>
      <c r="G41" s="419">
        <f>SUMIFS(SX!X$2:X$19,SX!$B$2:$B$19,'chia CN SX'!$C41)</f>
        <v>0</v>
      </c>
      <c r="H41" s="419">
        <f>SUMIFS(SX!Y$2:Y$19,SX!$B$2:$B$19,'chia CN SX'!$C41)</f>
        <v>0</v>
      </c>
      <c r="I41" s="419">
        <f>SUMIFS(SX!Z$2:Z$19,SX!$B$2:$B$19,'chia CN SX'!$C41)</f>
        <v>0</v>
      </c>
      <c r="J41" s="419">
        <f>SUMIFS(SX!AA$2:AA$19,SX!$B$2:$B$19,'chia CN SX'!$C41)</f>
        <v>0</v>
      </c>
      <c r="K41" s="419">
        <f>SUMIFS(SX!AB$2:AB$19,SX!$B$2:$B$19,'chia CN SX'!$C41)</f>
        <v>0</v>
      </c>
      <c r="L41" s="419">
        <f>SUMIFS(SX!AC$2:AC$19,SX!$B$2:$B$19,'chia CN SX'!$C41)</f>
        <v>0</v>
      </c>
      <c r="M41" s="419">
        <f>SUMIFS(SX!AD$2:AD$19,SX!$B$2:$B$19,'chia CN SX'!$C41)</f>
        <v>0</v>
      </c>
      <c r="N41" s="419">
        <f>SUMIFS(SX!AE$2:AE$19,SX!$B$2:$B$19,'chia CN SX'!$C41)</f>
        <v>0</v>
      </c>
      <c r="O41" s="419">
        <f>SUMIFS(SX!AF$2:AF$19,SX!$B$2:$B$19,'chia CN SX'!$C41)</f>
        <v>0</v>
      </c>
      <c r="P41" s="419">
        <f>SUMIFS(SX!AG$2:AG$19,SX!$B$2:$B$19,'chia CN SX'!$C41)</f>
        <v>0</v>
      </c>
      <c r="Q41" s="419">
        <f>SUMIFS(SX!AH$2:AH$19,SX!$B$2:$B$19,'chia CN SX'!$C41)</f>
        <v>0</v>
      </c>
      <c r="R41" s="419">
        <f>SUMIFS(SX!AI$2:AI$19,SX!$B$2:$B$19,'chia CN SX'!$C41)</f>
        <v>0</v>
      </c>
      <c r="S41" s="419">
        <f>SUMIFS(SX!AJ$2:AJ$19,SX!$B$2:$B$19,'chia CN SX'!$C41)</f>
        <v>0</v>
      </c>
      <c r="V41" s="542" t="e">
        <f>'chia CN boc xe'!U41</f>
        <v>#REF!</v>
      </c>
      <c r="W41" s="81">
        <f t="shared" si="48"/>
        <v>0</v>
      </c>
      <c r="X41" s="81">
        <f t="shared" si="34"/>
        <v>0</v>
      </c>
      <c r="Y41" s="81">
        <f t="shared" si="35"/>
        <v>0</v>
      </c>
      <c r="Z41" s="81">
        <f t="shared" si="36"/>
        <v>0</v>
      </c>
      <c r="AA41" s="81">
        <f t="shared" si="37"/>
        <v>0</v>
      </c>
      <c r="AB41" s="81">
        <f t="shared" si="38"/>
        <v>0</v>
      </c>
      <c r="AC41" s="81">
        <f t="shared" si="39"/>
        <v>0</v>
      </c>
      <c r="AD41" s="81">
        <f t="shared" si="40"/>
        <v>0</v>
      </c>
      <c r="AE41" s="81">
        <f t="shared" si="41"/>
        <v>0</v>
      </c>
      <c r="AF41" s="81">
        <f t="shared" si="42"/>
        <v>0</v>
      </c>
      <c r="AG41" s="81">
        <f t="shared" si="43"/>
        <v>0</v>
      </c>
      <c r="AH41" s="81">
        <f t="shared" si="44"/>
        <v>0</v>
      </c>
      <c r="AI41" s="81">
        <f t="shared" si="45"/>
        <v>0</v>
      </c>
      <c r="AJ41" s="81">
        <f t="shared" si="46"/>
        <v>0</v>
      </c>
      <c r="AK41" s="81">
        <f t="shared" si="47"/>
        <v>0</v>
      </c>
    </row>
    <row r="42" spans="1:37" x14ac:dyDescent="0.25">
      <c r="A42" s="421">
        <f t="shared" si="16"/>
        <v>40</v>
      </c>
      <c r="B42" s="557"/>
      <c r="C42" s="421"/>
      <c r="D42" s="419">
        <f>SUMIFS(SX!U$2:U$19,SX!$B$2:$B$19,'chia CN SX'!$C42)</f>
        <v>0</v>
      </c>
      <c r="E42" s="419">
        <f>SUMIFS(SX!V$2:V$19,SX!$B$2:$B$19,'chia CN SX'!$C42)</f>
        <v>0</v>
      </c>
      <c r="F42" s="419">
        <f>SUMIFS(SX!W$2:W$19,SX!$B$2:$B$19,'chia CN SX'!$C42)</f>
        <v>0</v>
      </c>
      <c r="G42" s="419">
        <f>SUMIFS(SX!X$2:X$19,SX!$B$2:$B$19,'chia CN SX'!$C42)</f>
        <v>0</v>
      </c>
      <c r="H42" s="419">
        <f>SUMIFS(SX!Y$2:Y$19,SX!$B$2:$B$19,'chia CN SX'!$C42)</f>
        <v>0</v>
      </c>
      <c r="I42" s="419">
        <f>SUMIFS(SX!Z$2:Z$19,SX!$B$2:$B$19,'chia CN SX'!$C42)</f>
        <v>0</v>
      </c>
      <c r="J42" s="419">
        <f>SUMIFS(SX!AA$2:AA$19,SX!$B$2:$B$19,'chia CN SX'!$C42)</f>
        <v>0</v>
      </c>
      <c r="K42" s="419">
        <f>SUMIFS(SX!AB$2:AB$19,SX!$B$2:$B$19,'chia CN SX'!$C42)</f>
        <v>0</v>
      </c>
      <c r="L42" s="419">
        <f>SUMIFS(SX!AC$2:AC$19,SX!$B$2:$B$19,'chia CN SX'!$C42)</f>
        <v>0</v>
      </c>
      <c r="M42" s="419">
        <f>SUMIFS(SX!AD$2:AD$19,SX!$B$2:$B$19,'chia CN SX'!$C42)</f>
        <v>0</v>
      </c>
      <c r="N42" s="419">
        <f>SUMIFS(SX!AE$2:AE$19,SX!$B$2:$B$19,'chia CN SX'!$C42)</f>
        <v>0</v>
      </c>
      <c r="O42" s="419">
        <f>SUMIFS(SX!AF$2:AF$19,SX!$B$2:$B$19,'chia CN SX'!$C42)</f>
        <v>0</v>
      </c>
      <c r="P42" s="419">
        <f>SUMIFS(SX!AG$2:AG$19,SX!$B$2:$B$19,'chia CN SX'!$C42)</f>
        <v>0</v>
      </c>
      <c r="Q42" s="419">
        <f>SUMIFS(SX!AH$2:AH$19,SX!$B$2:$B$19,'chia CN SX'!$C42)</f>
        <v>0</v>
      </c>
      <c r="R42" s="419">
        <f>SUMIFS(SX!AI$2:AI$19,SX!$B$2:$B$19,'chia CN SX'!$C42)</f>
        <v>0</v>
      </c>
      <c r="S42" s="419">
        <f>SUMIFS(SX!AJ$2:AJ$19,SX!$B$2:$B$19,'chia CN SX'!$C42)</f>
        <v>0</v>
      </c>
      <c r="V42" s="543" t="e">
        <f>'chia CN boc xe'!U42</f>
        <v>#REF!</v>
      </c>
      <c r="W42" s="81">
        <f t="shared" si="48"/>
        <v>0</v>
      </c>
      <c r="X42" s="81">
        <f t="shared" si="34"/>
        <v>0</v>
      </c>
      <c r="Y42" s="81">
        <f t="shared" si="35"/>
        <v>0</v>
      </c>
      <c r="Z42" s="81">
        <f t="shared" si="36"/>
        <v>0</v>
      </c>
      <c r="AA42" s="81">
        <f t="shared" si="37"/>
        <v>0</v>
      </c>
      <c r="AB42" s="81">
        <f t="shared" si="38"/>
        <v>0</v>
      </c>
      <c r="AC42" s="81">
        <f t="shared" si="39"/>
        <v>0</v>
      </c>
      <c r="AD42" s="81">
        <f t="shared" si="40"/>
        <v>0</v>
      </c>
      <c r="AE42" s="81">
        <f t="shared" si="41"/>
        <v>0</v>
      </c>
      <c r="AF42" s="81">
        <f t="shared" si="42"/>
        <v>0</v>
      </c>
      <c r="AG42" s="81">
        <f t="shared" si="43"/>
        <v>0</v>
      </c>
      <c r="AH42" s="81">
        <f t="shared" si="44"/>
        <v>0</v>
      </c>
      <c r="AI42" s="81">
        <f t="shared" si="45"/>
        <v>0</v>
      </c>
      <c r="AJ42" s="81">
        <f t="shared" si="46"/>
        <v>0</v>
      </c>
      <c r="AK42" s="81">
        <f t="shared" si="47"/>
        <v>0</v>
      </c>
    </row>
    <row r="43" spans="1:37" x14ac:dyDescent="0.25">
      <c r="A43" s="421">
        <f t="shared" si="16"/>
        <v>41</v>
      </c>
      <c r="B43" s="556"/>
      <c r="C43" s="421"/>
      <c r="D43" s="419">
        <f>SUMIFS(SX!U$2:U$19,SX!$B$2:$B$19,'chia CN SX'!$C43)</f>
        <v>0</v>
      </c>
      <c r="E43" s="419">
        <f>SUMIFS(SX!V$2:V$19,SX!$B$2:$B$19,'chia CN SX'!$C43)</f>
        <v>0</v>
      </c>
      <c r="F43" s="419">
        <f>SUMIFS(SX!W$2:W$19,SX!$B$2:$B$19,'chia CN SX'!$C43)</f>
        <v>0</v>
      </c>
      <c r="G43" s="419">
        <f>SUMIFS(SX!X$2:X$19,SX!$B$2:$B$19,'chia CN SX'!$C43)</f>
        <v>0</v>
      </c>
      <c r="H43" s="419">
        <f>SUMIFS(SX!Y$2:Y$19,SX!$B$2:$B$19,'chia CN SX'!$C43)</f>
        <v>0</v>
      </c>
      <c r="I43" s="419">
        <f>SUMIFS(SX!Z$2:Z$19,SX!$B$2:$B$19,'chia CN SX'!$C43)</f>
        <v>0</v>
      </c>
      <c r="J43" s="419">
        <f>SUMIFS(SX!AA$2:AA$19,SX!$B$2:$B$19,'chia CN SX'!$C43)</f>
        <v>0</v>
      </c>
      <c r="K43" s="419">
        <f>SUMIFS(SX!AB$2:AB$19,SX!$B$2:$B$19,'chia CN SX'!$C43)</f>
        <v>0</v>
      </c>
      <c r="L43" s="419">
        <f>SUMIFS(SX!AC$2:AC$19,SX!$B$2:$B$19,'chia CN SX'!$C43)</f>
        <v>0</v>
      </c>
      <c r="M43" s="419">
        <f>SUMIFS(SX!AD$2:AD$19,SX!$B$2:$B$19,'chia CN SX'!$C43)</f>
        <v>0</v>
      </c>
      <c r="N43" s="419">
        <f>SUMIFS(SX!AE$2:AE$19,SX!$B$2:$B$19,'chia CN SX'!$C43)</f>
        <v>0</v>
      </c>
      <c r="O43" s="419">
        <f>SUMIFS(SX!AF$2:AF$19,SX!$B$2:$B$19,'chia CN SX'!$C43)</f>
        <v>0</v>
      </c>
      <c r="P43" s="419">
        <f>SUMIFS(SX!AG$2:AG$19,SX!$B$2:$B$19,'chia CN SX'!$C43)</f>
        <v>0</v>
      </c>
      <c r="Q43" s="419">
        <f>SUMIFS(SX!AH$2:AH$19,SX!$B$2:$B$19,'chia CN SX'!$C43)</f>
        <v>0</v>
      </c>
      <c r="R43" s="419">
        <f>SUMIFS(SX!AI$2:AI$19,SX!$B$2:$B$19,'chia CN SX'!$C43)</f>
        <v>0</v>
      </c>
      <c r="S43" s="419">
        <f>SUMIFS(SX!AJ$2:AJ$19,SX!$B$2:$B$19,'chia CN SX'!$C43)</f>
        <v>0</v>
      </c>
      <c r="V43" s="543" t="e">
        <f>'chia CN boc xe'!U43</f>
        <v>#REF!</v>
      </c>
      <c r="W43" s="81">
        <f t="shared" si="48"/>
        <v>0</v>
      </c>
      <c r="X43" s="81">
        <f t="shared" si="34"/>
        <v>0</v>
      </c>
      <c r="Y43" s="81">
        <f t="shared" si="35"/>
        <v>0</v>
      </c>
      <c r="Z43" s="81">
        <f t="shared" si="36"/>
        <v>0</v>
      </c>
      <c r="AA43" s="81">
        <f t="shared" si="37"/>
        <v>0</v>
      </c>
      <c r="AB43" s="81">
        <f t="shared" si="38"/>
        <v>0</v>
      </c>
      <c r="AC43" s="81">
        <f t="shared" si="39"/>
        <v>0</v>
      </c>
      <c r="AD43" s="81">
        <f t="shared" si="40"/>
        <v>0</v>
      </c>
      <c r="AE43" s="81">
        <f t="shared" si="41"/>
        <v>0</v>
      </c>
      <c r="AF43" s="81">
        <f t="shared" si="42"/>
        <v>0</v>
      </c>
      <c r="AG43" s="81">
        <f t="shared" si="43"/>
        <v>0</v>
      </c>
      <c r="AH43" s="81">
        <f t="shared" si="44"/>
        <v>0</v>
      </c>
      <c r="AI43" s="81">
        <f t="shared" si="45"/>
        <v>0</v>
      </c>
      <c r="AJ43" s="81">
        <f t="shared" si="46"/>
        <v>0</v>
      </c>
      <c r="AK43" s="81">
        <f t="shared" si="47"/>
        <v>0</v>
      </c>
    </row>
    <row r="44" spans="1:37" x14ac:dyDescent="0.25">
      <c r="A44" s="421">
        <f t="shared" si="16"/>
        <v>42</v>
      </c>
      <c r="B44" s="556"/>
      <c r="C44" s="421"/>
      <c r="D44" s="419">
        <f>SUMIFS(SX!U$2:U$19,SX!$B$2:$B$19,'chia CN SX'!$C44)</f>
        <v>0</v>
      </c>
      <c r="E44" s="419">
        <f>SUMIFS(SX!V$2:V$19,SX!$B$2:$B$19,'chia CN SX'!$C44)</f>
        <v>0</v>
      </c>
      <c r="F44" s="419">
        <f>SUMIFS(SX!W$2:W$19,SX!$B$2:$B$19,'chia CN SX'!$C44)</f>
        <v>0</v>
      </c>
      <c r="G44" s="419">
        <f>SUMIFS(SX!X$2:X$19,SX!$B$2:$B$19,'chia CN SX'!$C44)</f>
        <v>0</v>
      </c>
      <c r="H44" s="419">
        <f>SUMIFS(SX!Y$2:Y$19,SX!$B$2:$B$19,'chia CN SX'!$C44)</f>
        <v>0</v>
      </c>
      <c r="I44" s="419">
        <f>SUMIFS(SX!Z$2:Z$19,SX!$B$2:$B$19,'chia CN SX'!$C44)</f>
        <v>0</v>
      </c>
      <c r="J44" s="419">
        <f>SUMIFS(SX!AA$2:AA$19,SX!$B$2:$B$19,'chia CN SX'!$C44)</f>
        <v>0</v>
      </c>
      <c r="K44" s="419">
        <f>SUMIFS(SX!AB$2:AB$19,SX!$B$2:$B$19,'chia CN SX'!$C44)</f>
        <v>0</v>
      </c>
      <c r="L44" s="419">
        <f>SUMIFS(SX!AC$2:AC$19,SX!$B$2:$B$19,'chia CN SX'!$C44)</f>
        <v>0</v>
      </c>
      <c r="M44" s="419">
        <f>SUMIFS(SX!AD$2:AD$19,SX!$B$2:$B$19,'chia CN SX'!$C44)</f>
        <v>0</v>
      </c>
      <c r="N44" s="419">
        <f>SUMIFS(SX!AE$2:AE$19,SX!$B$2:$B$19,'chia CN SX'!$C44)</f>
        <v>0</v>
      </c>
      <c r="O44" s="419">
        <f>SUMIFS(SX!AF$2:AF$19,SX!$B$2:$B$19,'chia CN SX'!$C44)</f>
        <v>0</v>
      </c>
      <c r="P44" s="419">
        <f>SUMIFS(SX!AG$2:AG$19,SX!$B$2:$B$19,'chia CN SX'!$C44)</f>
        <v>0</v>
      </c>
      <c r="Q44" s="419">
        <f>SUMIFS(SX!AH$2:AH$19,SX!$B$2:$B$19,'chia CN SX'!$C44)</f>
        <v>0</v>
      </c>
      <c r="R44" s="419">
        <f>SUMIFS(SX!AI$2:AI$19,SX!$B$2:$B$19,'chia CN SX'!$C44)</f>
        <v>0</v>
      </c>
      <c r="S44" s="419">
        <f>SUMIFS(SX!AJ$2:AJ$19,SX!$B$2:$B$19,'chia CN SX'!$C44)</f>
        <v>0</v>
      </c>
      <c r="V44" s="80" t="e">
        <f>'chia CN boc xe'!U44</f>
        <v>#REF!</v>
      </c>
      <c r="W44" s="81">
        <f t="shared" si="48"/>
        <v>0</v>
      </c>
      <c r="X44" s="81">
        <f t="shared" si="34"/>
        <v>0</v>
      </c>
      <c r="Y44" s="81">
        <f t="shared" si="35"/>
        <v>0</v>
      </c>
      <c r="Z44" s="81">
        <f t="shared" si="36"/>
        <v>0</v>
      </c>
      <c r="AA44" s="81">
        <f t="shared" si="37"/>
        <v>0</v>
      </c>
      <c r="AB44" s="81">
        <f t="shared" si="38"/>
        <v>0</v>
      </c>
      <c r="AC44" s="81">
        <f t="shared" si="39"/>
        <v>0</v>
      </c>
      <c r="AD44" s="81">
        <f t="shared" si="40"/>
        <v>0</v>
      </c>
      <c r="AE44" s="81">
        <f t="shared" si="41"/>
        <v>0</v>
      </c>
      <c r="AF44" s="81">
        <f t="shared" si="42"/>
        <v>0</v>
      </c>
      <c r="AG44" s="81">
        <f t="shared" si="43"/>
        <v>0</v>
      </c>
      <c r="AH44" s="81">
        <f t="shared" si="44"/>
        <v>0</v>
      </c>
      <c r="AI44" s="81">
        <f t="shared" si="45"/>
        <v>0</v>
      </c>
      <c r="AJ44" s="81">
        <f t="shared" si="46"/>
        <v>0</v>
      </c>
      <c r="AK44" s="81">
        <f t="shared" si="47"/>
        <v>0</v>
      </c>
    </row>
    <row r="45" spans="1:37" x14ac:dyDescent="0.25">
      <c r="A45" s="421">
        <f t="shared" si="16"/>
        <v>43</v>
      </c>
      <c r="B45" s="556"/>
      <c r="C45" s="421"/>
      <c r="D45" s="419">
        <f>SUMIFS(SX!U$2:U$19,SX!$B$2:$B$19,'chia CN SX'!$C45)</f>
        <v>0</v>
      </c>
      <c r="E45" s="419">
        <f>SUMIFS(SX!V$2:V$19,SX!$B$2:$B$19,'chia CN SX'!$C45)</f>
        <v>0</v>
      </c>
      <c r="F45" s="419">
        <f>SUMIFS(SX!W$2:W$19,SX!$B$2:$B$19,'chia CN SX'!$C45)</f>
        <v>0</v>
      </c>
      <c r="G45" s="419">
        <f>SUMIFS(SX!X$2:X$19,SX!$B$2:$B$19,'chia CN SX'!$C45)</f>
        <v>0</v>
      </c>
      <c r="H45" s="419">
        <f>SUMIFS(SX!Y$2:Y$19,SX!$B$2:$B$19,'chia CN SX'!$C45)</f>
        <v>0</v>
      </c>
      <c r="I45" s="419">
        <f>SUMIFS(SX!Z$2:Z$19,SX!$B$2:$B$19,'chia CN SX'!$C45)</f>
        <v>0</v>
      </c>
      <c r="J45" s="419">
        <f>SUMIFS(SX!AA$2:AA$19,SX!$B$2:$B$19,'chia CN SX'!$C45)</f>
        <v>0</v>
      </c>
      <c r="K45" s="419">
        <f>SUMIFS(SX!AB$2:AB$19,SX!$B$2:$B$19,'chia CN SX'!$C45)</f>
        <v>0</v>
      </c>
      <c r="L45" s="419">
        <f>SUMIFS(SX!AC$2:AC$19,SX!$B$2:$B$19,'chia CN SX'!$C45)</f>
        <v>0</v>
      </c>
      <c r="M45" s="419">
        <f>SUMIFS(SX!AD$2:AD$19,SX!$B$2:$B$19,'chia CN SX'!$C45)</f>
        <v>0</v>
      </c>
      <c r="N45" s="419">
        <f>SUMIFS(SX!AE$2:AE$19,SX!$B$2:$B$19,'chia CN SX'!$C45)</f>
        <v>0</v>
      </c>
      <c r="O45" s="419">
        <f>SUMIFS(SX!AF$2:AF$19,SX!$B$2:$B$19,'chia CN SX'!$C45)</f>
        <v>0</v>
      </c>
      <c r="P45" s="419">
        <f>SUMIFS(SX!AG$2:AG$19,SX!$B$2:$B$19,'chia CN SX'!$C45)</f>
        <v>0</v>
      </c>
      <c r="Q45" s="419">
        <f>SUMIFS(SX!AH$2:AH$19,SX!$B$2:$B$19,'chia CN SX'!$C45)</f>
        <v>0</v>
      </c>
      <c r="R45" s="419">
        <f>SUMIFS(SX!AI$2:AI$19,SX!$B$2:$B$19,'chia CN SX'!$C45)</f>
        <v>0</v>
      </c>
      <c r="S45" s="419">
        <f>SUMIFS(SX!AJ$2:AJ$19,SX!$B$2:$B$19,'chia CN SX'!$C45)</f>
        <v>0</v>
      </c>
      <c r="V45" s="543" t="e">
        <f>'chia CN boc xe'!U45</f>
        <v>#REF!</v>
      </c>
      <c r="W45" s="81">
        <f t="shared" si="48"/>
        <v>0</v>
      </c>
      <c r="X45" s="81">
        <f t="shared" si="34"/>
        <v>0</v>
      </c>
      <c r="Y45" s="81">
        <f t="shared" si="35"/>
        <v>0</v>
      </c>
      <c r="Z45" s="81">
        <f t="shared" si="36"/>
        <v>0</v>
      </c>
      <c r="AA45" s="81">
        <f t="shared" si="37"/>
        <v>0</v>
      </c>
      <c r="AB45" s="81">
        <f t="shared" si="38"/>
        <v>0</v>
      </c>
      <c r="AC45" s="81">
        <f t="shared" si="39"/>
        <v>0</v>
      </c>
      <c r="AD45" s="81">
        <f t="shared" si="40"/>
        <v>0</v>
      </c>
      <c r="AE45" s="81">
        <f t="shared" si="41"/>
        <v>0</v>
      </c>
      <c r="AF45" s="81">
        <f t="shared" si="42"/>
        <v>0</v>
      </c>
      <c r="AG45" s="81">
        <f t="shared" si="43"/>
        <v>0</v>
      </c>
      <c r="AH45" s="81">
        <f t="shared" si="44"/>
        <v>0</v>
      </c>
      <c r="AI45" s="81">
        <f t="shared" si="45"/>
        <v>0</v>
      </c>
      <c r="AJ45" s="81">
        <f t="shared" si="46"/>
        <v>0</v>
      </c>
      <c r="AK45" s="81">
        <f t="shared" si="47"/>
        <v>0</v>
      </c>
    </row>
    <row r="46" spans="1:37" x14ac:dyDescent="0.25">
      <c r="A46" s="421">
        <f t="shared" si="16"/>
        <v>44</v>
      </c>
      <c r="B46" s="556"/>
      <c r="C46" s="421"/>
      <c r="D46" s="419">
        <f>SUMIFS(SX!U$2:U$19,SX!$B$2:$B$19,'chia CN SX'!$C46)</f>
        <v>0</v>
      </c>
      <c r="E46" s="419">
        <f>SUMIFS(SX!V$2:V$19,SX!$B$2:$B$19,'chia CN SX'!$C46)</f>
        <v>0</v>
      </c>
      <c r="F46" s="419">
        <f>SUMIFS(SX!W$2:W$19,SX!$B$2:$B$19,'chia CN SX'!$C46)</f>
        <v>0</v>
      </c>
      <c r="G46" s="419">
        <f>SUMIFS(SX!X$2:X$19,SX!$B$2:$B$19,'chia CN SX'!$C46)</f>
        <v>0</v>
      </c>
      <c r="H46" s="419">
        <f>SUMIFS(SX!Y$2:Y$19,SX!$B$2:$B$19,'chia CN SX'!$C46)</f>
        <v>0</v>
      </c>
      <c r="I46" s="419">
        <f>SUMIFS(SX!Z$2:Z$19,SX!$B$2:$B$19,'chia CN SX'!$C46)</f>
        <v>0</v>
      </c>
      <c r="J46" s="419">
        <f>SUMIFS(SX!AA$2:AA$19,SX!$B$2:$B$19,'chia CN SX'!$C46)</f>
        <v>0</v>
      </c>
      <c r="K46" s="419">
        <f>SUMIFS(SX!AB$2:AB$19,SX!$B$2:$B$19,'chia CN SX'!$C46)</f>
        <v>0</v>
      </c>
      <c r="L46" s="419">
        <f>SUMIFS(SX!AC$2:AC$19,SX!$B$2:$B$19,'chia CN SX'!$C46)</f>
        <v>0</v>
      </c>
      <c r="M46" s="419">
        <f>SUMIFS(SX!AD$2:AD$19,SX!$B$2:$B$19,'chia CN SX'!$C46)</f>
        <v>0</v>
      </c>
      <c r="N46" s="419">
        <f>SUMIFS(SX!AE$2:AE$19,SX!$B$2:$B$19,'chia CN SX'!$C46)</f>
        <v>0</v>
      </c>
      <c r="O46" s="419">
        <f>SUMIFS(SX!AF$2:AF$19,SX!$B$2:$B$19,'chia CN SX'!$C46)</f>
        <v>0</v>
      </c>
      <c r="P46" s="419">
        <f>SUMIFS(SX!AG$2:AG$19,SX!$B$2:$B$19,'chia CN SX'!$C46)</f>
        <v>0</v>
      </c>
      <c r="Q46" s="419">
        <f>SUMIFS(SX!AH$2:AH$19,SX!$B$2:$B$19,'chia CN SX'!$C46)</f>
        <v>0</v>
      </c>
      <c r="R46" s="419">
        <f>SUMIFS(SX!AI$2:AI$19,SX!$B$2:$B$19,'chia CN SX'!$C46)</f>
        <v>0</v>
      </c>
      <c r="S46" s="419">
        <f>SUMIFS(SX!AJ$2:AJ$19,SX!$B$2:$B$19,'chia CN SX'!$C46)</f>
        <v>0</v>
      </c>
      <c r="V46" s="543" t="e">
        <f>'chia CN boc xe'!U46</f>
        <v>#REF!</v>
      </c>
      <c r="W46" s="81">
        <f t="shared" si="48"/>
        <v>0</v>
      </c>
      <c r="X46" s="81">
        <f t="shared" si="34"/>
        <v>0</v>
      </c>
      <c r="Y46" s="81">
        <f t="shared" si="35"/>
        <v>0</v>
      </c>
      <c r="Z46" s="81">
        <f t="shared" si="36"/>
        <v>0</v>
      </c>
      <c r="AA46" s="81">
        <f t="shared" si="37"/>
        <v>0</v>
      </c>
      <c r="AB46" s="81">
        <f t="shared" si="38"/>
        <v>0</v>
      </c>
      <c r="AC46" s="81">
        <f t="shared" si="39"/>
        <v>0</v>
      </c>
      <c r="AD46" s="81">
        <f t="shared" si="40"/>
        <v>0</v>
      </c>
      <c r="AE46" s="81">
        <f t="shared" si="41"/>
        <v>0</v>
      </c>
      <c r="AF46" s="81">
        <f t="shared" si="42"/>
        <v>0</v>
      </c>
      <c r="AG46" s="81">
        <f t="shared" si="43"/>
        <v>0</v>
      </c>
      <c r="AH46" s="81">
        <f t="shared" si="44"/>
        <v>0</v>
      </c>
      <c r="AI46" s="81">
        <f t="shared" si="45"/>
        <v>0</v>
      </c>
      <c r="AJ46" s="81">
        <f t="shared" si="46"/>
        <v>0</v>
      </c>
      <c r="AK46" s="81">
        <f t="shared" si="47"/>
        <v>0</v>
      </c>
    </row>
    <row r="47" spans="1:37" x14ac:dyDescent="0.25">
      <c r="A47" s="421">
        <f t="shared" si="16"/>
        <v>45</v>
      </c>
      <c r="B47" s="556"/>
      <c r="C47" s="421"/>
      <c r="D47" s="419">
        <f>SUMIFS(SX!U$2:U$19,SX!$B$2:$B$19,'chia CN SX'!$C47)</f>
        <v>0</v>
      </c>
      <c r="E47" s="419">
        <f>SUMIFS(SX!V$2:V$19,SX!$B$2:$B$19,'chia CN SX'!$C47)</f>
        <v>0</v>
      </c>
      <c r="F47" s="419">
        <f>SUMIFS(SX!W$2:W$19,SX!$B$2:$B$19,'chia CN SX'!$C47)</f>
        <v>0</v>
      </c>
      <c r="G47" s="419">
        <f>SUMIFS(SX!X$2:X$19,SX!$B$2:$B$19,'chia CN SX'!$C47)</f>
        <v>0</v>
      </c>
      <c r="H47" s="419">
        <f>SUMIFS(SX!Y$2:Y$19,SX!$B$2:$B$19,'chia CN SX'!$C47)</f>
        <v>0</v>
      </c>
      <c r="I47" s="419">
        <f>SUMIFS(SX!Z$2:Z$19,SX!$B$2:$B$19,'chia CN SX'!$C47)</f>
        <v>0</v>
      </c>
      <c r="J47" s="419">
        <f>SUMIFS(SX!AA$2:AA$19,SX!$B$2:$B$19,'chia CN SX'!$C47)</f>
        <v>0</v>
      </c>
      <c r="K47" s="419">
        <f>SUMIFS(SX!AB$2:AB$19,SX!$B$2:$B$19,'chia CN SX'!$C47)</f>
        <v>0</v>
      </c>
      <c r="L47" s="419">
        <f>SUMIFS(SX!AC$2:AC$19,SX!$B$2:$B$19,'chia CN SX'!$C47)</f>
        <v>0</v>
      </c>
      <c r="M47" s="419">
        <f>SUMIFS(SX!AD$2:AD$19,SX!$B$2:$B$19,'chia CN SX'!$C47)</f>
        <v>0</v>
      </c>
      <c r="N47" s="419">
        <f>SUMIFS(SX!AE$2:AE$19,SX!$B$2:$B$19,'chia CN SX'!$C47)</f>
        <v>0</v>
      </c>
      <c r="O47" s="419">
        <f>SUMIFS(SX!AF$2:AF$19,SX!$B$2:$B$19,'chia CN SX'!$C47)</f>
        <v>0</v>
      </c>
      <c r="P47" s="419">
        <f>SUMIFS(SX!AG$2:AG$19,SX!$B$2:$B$19,'chia CN SX'!$C47)</f>
        <v>0</v>
      </c>
      <c r="Q47" s="419">
        <f>SUMIFS(SX!AH$2:AH$19,SX!$B$2:$B$19,'chia CN SX'!$C47)</f>
        <v>0</v>
      </c>
      <c r="R47" s="419">
        <f>SUMIFS(SX!AI$2:AI$19,SX!$B$2:$B$19,'chia CN SX'!$C47)</f>
        <v>0</v>
      </c>
      <c r="S47" s="419">
        <f>SUMIFS(SX!AJ$2:AJ$19,SX!$B$2:$B$19,'chia CN SX'!$C47)</f>
        <v>0</v>
      </c>
      <c r="V47" s="542" t="e">
        <f>'chia CN boc xe'!U47</f>
        <v>#REF!</v>
      </c>
      <c r="W47" s="81">
        <f t="shared" si="48"/>
        <v>0</v>
      </c>
      <c r="X47" s="81">
        <f t="shared" si="34"/>
        <v>0</v>
      </c>
      <c r="Y47" s="81">
        <f t="shared" si="35"/>
        <v>0</v>
      </c>
      <c r="Z47" s="81">
        <f t="shared" si="36"/>
        <v>0</v>
      </c>
      <c r="AA47" s="81">
        <f t="shared" si="37"/>
        <v>0</v>
      </c>
      <c r="AB47" s="81">
        <f t="shared" si="38"/>
        <v>0</v>
      </c>
      <c r="AC47" s="81">
        <f t="shared" si="39"/>
        <v>0</v>
      </c>
      <c r="AD47" s="81">
        <f t="shared" si="40"/>
        <v>0</v>
      </c>
      <c r="AE47" s="81">
        <f t="shared" si="41"/>
        <v>0</v>
      </c>
      <c r="AF47" s="81">
        <f t="shared" si="42"/>
        <v>0</v>
      </c>
      <c r="AG47" s="81">
        <f t="shared" si="43"/>
        <v>0</v>
      </c>
      <c r="AH47" s="81">
        <f t="shared" si="44"/>
        <v>0</v>
      </c>
      <c r="AI47" s="81">
        <f t="shared" si="45"/>
        <v>0</v>
      </c>
      <c r="AJ47" s="81">
        <f t="shared" si="46"/>
        <v>0</v>
      </c>
      <c r="AK47" s="81">
        <f t="shared" si="47"/>
        <v>0</v>
      </c>
    </row>
    <row r="48" spans="1:37" x14ac:dyDescent="0.25">
      <c r="A48" s="421">
        <f t="shared" si="16"/>
        <v>46</v>
      </c>
      <c r="B48" s="556"/>
      <c r="C48" s="421"/>
      <c r="D48" s="419">
        <f>SUMIFS(SX!U$2:U$19,SX!$B$2:$B$19,'chia CN SX'!$C48)</f>
        <v>0</v>
      </c>
      <c r="E48" s="419">
        <f>SUMIFS(SX!V$2:V$19,SX!$B$2:$B$19,'chia CN SX'!$C48)</f>
        <v>0</v>
      </c>
      <c r="F48" s="419">
        <f>SUMIFS(SX!W$2:W$19,SX!$B$2:$B$19,'chia CN SX'!$C48)</f>
        <v>0</v>
      </c>
      <c r="G48" s="419">
        <f>SUMIFS(SX!X$2:X$19,SX!$B$2:$B$19,'chia CN SX'!$C48)</f>
        <v>0</v>
      </c>
      <c r="H48" s="419">
        <f>SUMIFS(SX!Y$2:Y$19,SX!$B$2:$B$19,'chia CN SX'!$C48)</f>
        <v>0</v>
      </c>
      <c r="I48" s="419">
        <f>SUMIFS(SX!Z$2:Z$19,SX!$B$2:$B$19,'chia CN SX'!$C48)</f>
        <v>0</v>
      </c>
      <c r="J48" s="419">
        <f>SUMIFS(SX!AA$2:AA$19,SX!$B$2:$B$19,'chia CN SX'!$C48)</f>
        <v>0</v>
      </c>
      <c r="K48" s="419">
        <f>SUMIFS(SX!AB$2:AB$19,SX!$B$2:$B$19,'chia CN SX'!$C48)</f>
        <v>0</v>
      </c>
      <c r="L48" s="419">
        <f>SUMIFS(SX!AC$2:AC$19,SX!$B$2:$B$19,'chia CN SX'!$C48)</f>
        <v>0</v>
      </c>
      <c r="M48" s="419">
        <f>SUMIFS(SX!AD$2:AD$19,SX!$B$2:$B$19,'chia CN SX'!$C48)</f>
        <v>0</v>
      </c>
      <c r="N48" s="419">
        <f>SUMIFS(SX!AE$2:AE$19,SX!$B$2:$B$19,'chia CN SX'!$C48)</f>
        <v>0</v>
      </c>
      <c r="O48" s="419">
        <f>SUMIFS(SX!AF$2:AF$19,SX!$B$2:$B$19,'chia CN SX'!$C48)</f>
        <v>0</v>
      </c>
      <c r="P48" s="419">
        <f>SUMIFS(SX!AG$2:AG$19,SX!$B$2:$B$19,'chia CN SX'!$C48)</f>
        <v>0</v>
      </c>
      <c r="Q48" s="419">
        <f>SUMIFS(SX!AH$2:AH$19,SX!$B$2:$B$19,'chia CN SX'!$C48)</f>
        <v>0</v>
      </c>
      <c r="R48" s="419">
        <f>SUMIFS(SX!AI$2:AI$19,SX!$B$2:$B$19,'chia CN SX'!$C48)</f>
        <v>0</v>
      </c>
      <c r="S48" s="419">
        <f>SUMIFS(SX!AJ$2:AJ$19,SX!$B$2:$B$19,'chia CN SX'!$C48)</f>
        <v>0</v>
      </c>
      <c r="V48" s="542" t="e">
        <f>'chia CN boc xe'!U48</f>
        <v>#REF!</v>
      </c>
      <c r="W48" s="81">
        <f t="shared" si="48"/>
        <v>0</v>
      </c>
      <c r="X48" s="81">
        <f t="shared" si="34"/>
        <v>0</v>
      </c>
      <c r="Y48" s="81">
        <f t="shared" si="35"/>
        <v>0</v>
      </c>
      <c r="Z48" s="81">
        <f t="shared" si="36"/>
        <v>0</v>
      </c>
      <c r="AA48" s="81">
        <f t="shared" si="37"/>
        <v>0</v>
      </c>
      <c r="AB48" s="81">
        <f t="shared" si="38"/>
        <v>0</v>
      </c>
      <c r="AC48" s="81">
        <f t="shared" si="39"/>
        <v>0</v>
      </c>
      <c r="AD48" s="81">
        <f t="shared" si="40"/>
        <v>0</v>
      </c>
      <c r="AE48" s="81">
        <f t="shared" si="41"/>
        <v>0</v>
      </c>
      <c r="AF48" s="81">
        <f t="shared" si="42"/>
        <v>0</v>
      </c>
      <c r="AG48" s="81">
        <f t="shared" si="43"/>
        <v>0</v>
      </c>
      <c r="AH48" s="81">
        <f t="shared" si="44"/>
        <v>0</v>
      </c>
      <c r="AI48" s="81">
        <f t="shared" si="45"/>
        <v>0</v>
      </c>
      <c r="AJ48" s="81">
        <f t="shared" si="46"/>
        <v>0</v>
      </c>
      <c r="AK48" s="81">
        <f t="shared" si="47"/>
        <v>0</v>
      </c>
    </row>
    <row r="49" spans="1:37" x14ac:dyDescent="0.25">
      <c r="A49" s="421">
        <f t="shared" si="16"/>
        <v>47</v>
      </c>
      <c r="B49" s="556"/>
      <c r="C49" s="421"/>
      <c r="D49" s="419">
        <f>SUMIFS(SX!U$2:U$19,SX!$B$2:$B$19,'chia CN SX'!$C49)</f>
        <v>0</v>
      </c>
      <c r="E49" s="419">
        <f>SUMIFS(SX!V$2:V$19,SX!$B$2:$B$19,'chia CN SX'!$C49)</f>
        <v>0</v>
      </c>
      <c r="F49" s="419">
        <f>SUMIFS(SX!W$2:W$19,SX!$B$2:$B$19,'chia CN SX'!$C49)</f>
        <v>0</v>
      </c>
      <c r="G49" s="419">
        <f>SUMIFS(SX!X$2:X$19,SX!$B$2:$B$19,'chia CN SX'!$C49)</f>
        <v>0</v>
      </c>
      <c r="H49" s="419">
        <f>SUMIFS(SX!Y$2:Y$19,SX!$B$2:$B$19,'chia CN SX'!$C49)</f>
        <v>0</v>
      </c>
      <c r="I49" s="419">
        <f>SUMIFS(SX!Z$2:Z$19,SX!$B$2:$B$19,'chia CN SX'!$C49)</f>
        <v>0</v>
      </c>
      <c r="J49" s="419">
        <f>SUMIFS(SX!AA$2:AA$19,SX!$B$2:$B$19,'chia CN SX'!$C49)</f>
        <v>0</v>
      </c>
      <c r="K49" s="419">
        <f>SUMIFS(SX!AB$2:AB$19,SX!$B$2:$B$19,'chia CN SX'!$C49)</f>
        <v>0</v>
      </c>
      <c r="L49" s="419">
        <f>SUMIFS(SX!AC$2:AC$19,SX!$B$2:$B$19,'chia CN SX'!$C49)</f>
        <v>0</v>
      </c>
      <c r="M49" s="419">
        <f>SUMIFS(SX!AD$2:AD$19,SX!$B$2:$B$19,'chia CN SX'!$C49)</f>
        <v>0</v>
      </c>
      <c r="N49" s="419">
        <f>SUMIFS(SX!AE$2:AE$19,SX!$B$2:$B$19,'chia CN SX'!$C49)</f>
        <v>0</v>
      </c>
      <c r="O49" s="419">
        <f>SUMIFS(SX!AF$2:AF$19,SX!$B$2:$B$19,'chia CN SX'!$C49)</f>
        <v>0</v>
      </c>
      <c r="P49" s="419">
        <f>SUMIFS(SX!AG$2:AG$19,SX!$B$2:$B$19,'chia CN SX'!$C49)</f>
        <v>0</v>
      </c>
      <c r="Q49" s="419">
        <f>SUMIFS(SX!AH$2:AH$19,SX!$B$2:$B$19,'chia CN SX'!$C49)</f>
        <v>0</v>
      </c>
      <c r="R49" s="419">
        <f>SUMIFS(SX!AI$2:AI$19,SX!$B$2:$B$19,'chia CN SX'!$C49)</f>
        <v>0</v>
      </c>
      <c r="S49" s="419">
        <f>SUMIFS(SX!AJ$2:AJ$19,SX!$B$2:$B$19,'chia CN SX'!$C49)</f>
        <v>0</v>
      </c>
      <c r="V49" s="542" t="e">
        <f>'chia CN boc xe'!U49</f>
        <v>#REF!</v>
      </c>
      <c r="W49" s="81">
        <f t="shared" si="48"/>
        <v>0</v>
      </c>
      <c r="X49" s="81">
        <f t="shared" si="34"/>
        <v>0</v>
      </c>
      <c r="Y49" s="81">
        <f t="shared" si="35"/>
        <v>0</v>
      </c>
      <c r="Z49" s="81">
        <f t="shared" si="36"/>
        <v>0</v>
      </c>
      <c r="AA49" s="81">
        <f t="shared" si="37"/>
        <v>0</v>
      </c>
      <c r="AB49" s="81">
        <f t="shared" si="38"/>
        <v>0</v>
      </c>
      <c r="AC49" s="81">
        <f t="shared" si="39"/>
        <v>0</v>
      </c>
      <c r="AD49" s="81">
        <f t="shared" si="40"/>
        <v>0</v>
      </c>
      <c r="AE49" s="81">
        <f t="shared" si="41"/>
        <v>0</v>
      </c>
      <c r="AF49" s="81">
        <f t="shared" si="42"/>
        <v>0</v>
      </c>
      <c r="AG49" s="81">
        <f t="shared" si="43"/>
        <v>0</v>
      </c>
      <c r="AH49" s="81">
        <f t="shared" si="44"/>
        <v>0</v>
      </c>
      <c r="AI49" s="81">
        <f t="shared" si="45"/>
        <v>0</v>
      </c>
      <c r="AJ49" s="81">
        <f t="shared" si="46"/>
        <v>0</v>
      </c>
      <c r="AK49" s="81">
        <f t="shared" si="47"/>
        <v>0</v>
      </c>
    </row>
    <row r="50" spans="1:37" x14ac:dyDescent="0.25">
      <c r="A50" s="421">
        <f t="shared" si="16"/>
        <v>48</v>
      </c>
      <c r="B50" s="331"/>
      <c r="C50" s="421"/>
      <c r="D50" s="419">
        <f>SUMIFS(SX!U$2:U$19,SX!$B$2:$B$19,'chia CN SX'!$C50)</f>
        <v>0</v>
      </c>
      <c r="E50" s="419">
        <f>SUMIFS(SX!V$2:V$19,SX!$B$2:$B$19,'chia CN SX'!$C50)</f>
        <v>0</v>
      </c>
      <c r="F50" s="419">
        <f>SUMIFS(SX!W$2:W$19,SX!$B$2:$B$19,'chia CN SX'!$C50)</f>
        <v>0</v>
      </c>
      <c r="G50" s="419">
        <f>SUMIFS(SX!X$2:X$19,SX!$B$2:$B$19,'chia CN SX'!$C50)</f>
        <v>0</v>
      </c>
      <c r="H50" s="419">
        <f>SUMIFS(SX!Y$2:Y$19,SX!$B$2:$B$19,'chia CN SX'!$C50)</f>
        <v>0</v>
      </c>
      <c r="I50" s="419">
        <f>SUMIFS(SX!Z$2:Z$19,SX!$B$2:$B$19,'chia CN SX'!$C50)</f>
        <v>0</v>
      </c>
      <c r="J50" s="419">
        <f>SUMIFS(SX!AA$2:AA$19,SX!$B$2:$B$19,'chia CN SX'!$C50)</f>
        <v>0</v>
      </c>
      <c r="K50" s="419">
        <f>SUMIFS(SX!AB$2:AB$19,SX!$B$2:$B$19,'chia CN SX'!$C50)</f>
        <v>0</v>
      </c>
      <c r="L50" s="419">
        <f>SUMIFS(SX!AC$2:AC$19,SX!$B$2:$B$19,'chia CN SX'!$C50)</f>
        <v>0</v>
      </c>
      <c r="M50" s="419">
        <f>SUMIFS(SX!AD$2:AD$19,SX!$B$2:$B$19,'chia CN SX'!$C50)</f>
        <v>0</v>
      </c>
      <c r="N50" s="419">
        <f>SUMIFS(SX!AE$2:AE$19,SX!$B$2:$B$19,'chia CN SX'!$C50)</f>
        <v>0</v>
      </c>
      <c r="O50" s="419">
        <f>SUMIFS(SX!AF$2:AF$19,SX!$B$2:$B$19,'chia CN SX'!$C50)</f>
        <v>0</v>
      </c>
      <c r="P50" s="419">
        <f>SUMIFS(SX!AG$2:AG$19,SX!$B$2:$B$19,'chia CN SX'!$C50)</f>
        <v>0</v>
      </c>
      <c r="Q50" s="419">
        <f>SUMIFS(SX!AH$2:AH$19,SX!$B$2:$B$19,'chia CN SX'!$C50)</f>
        <v>0</v>
      </c>
      <c r="R50" s="419">
        <f>SUMIFS(SX!AI$2:AI$19,SX!$B$2:$B$19,'chia CN SX'!$C50)</f>
        <v>0</v>
      </c>
      <c r="S50" s="419">
        <f>SUMIFS(SX!AJ$2:AJ$19,SX!$B$2:$B$19,'chia CN SX'!$C50)</f>
        <v>0</v>
      </c>
      <c r="V50" s="543" t="e">
        <f>'chia CN boc xe'!U50</f>
        <v>#REF!</v>
      </c>
      <c r="W50" s="81">
        <f t="shared" si="48"/>
        <v>0</v>
      </c>
      <c r="X50" s="81">
        <f t="shared" si="34"/>
        <v>0</v>
      </c>
      <c r="Y50" s="81">
        <f t="shared" si="35"/>
        <v>0</v>
      </c>
      <c r="Z50" s="81">
        <f t="shared" si="36"/>
        <v>0</v>
      </c>
      <c r="AA50" s="81">
        <f t="shared" si="37"/>
        <v>0</v>
      </c>
      <c r="AB50" s="81">
        <f t="shared" si="38"/>
        <v>0</v>
      </c>
      <c r="AC50" s="81">
        <f t="shared" si="39"/>
        <v>0</v>
      </c>
      <c r="AD50" s="81">
        <f t="shared" si="40"/>
        <v>0</v>
      </c>
      <c r="AE50" s="81">
        <f t="shared" si="41"/>
        <v>0</v>
      </c>
      <c r="AF50" s="81">
        <f t="shared" si="42"/>
        <v>0</v>
      </c>
      <c r="AG50" s="81">
        <f t="shared" si="43"/>
        <v>0</v>
      </c>
      <c r="AH50" s="81">
        <f t="shared" si="44"/>
        <v>0</v>
      </c>
      <c r="AI50" s="81">
        <f t="shared" si="45"/>
        <v>0</v>
      </c>
      <c r="AJ50" s="81">
        <f t="shared" si="46"/>
        <v>0</v>
      </c>
      <c r="AK50" s="81">
        <f t="shared" si="47"/>
        <v>0</v>
      </c>
    </row>
    <row r="51" spans="1:37" x14ac:dyDescent="0.25">
      <c r="A51" s="421">
        <f t="shared" si="16"/>
        <v>49</v>
      </c>
      <c r="B51" s="331"/>
      <c r="C51" s="421"/>
      <c r="D51" s="419">
        <f>SUMIFS(SX!U$2:U$19,SX!$B$2:$B$19,'chia CN SX'!$C51)</f>
        <v>0</v>
      </c>
      <c r="E51" s="419">
        <f>SUMIFS(SX!V$2:V$19,SX!$B$2:$B$19,'chia CN SX'!$C51)</f>
        <v>0</v>
      </c>
      <c r="F51" s="419">
        <f>SUMIFS(SX!W$2:W$19,SX!$B$2:$B$19,'chia CN SX'!$C51)</f>
        <v>0</v>
      </c>
      <c r="G51" s="419">
        <f>SUMIFS(SX!X$2:X$19,SX!$B$2:$B$19,'chia CN SX'!$C51)</f>
        <v>0</v>
      </c>
      <c r="H51" s="419">
        <f>SUMIFS(SX!Y$2:Y$19,SX!$B$2:$B$19,'chia CN SX'!$C51)</f>
        <v>0</v>
      </c>
      <c r="I51" s="419">
        <f>SUMIFS(SX!Z$2:Z$19,SX!$B$2:$B$19,'chia CN SX'!$C51)</f>
        <v>0</v>
      </c>
      <c r="J51" s="419">
        <f>SUMIFS(SX!AA$2:AA$19,SX!$B$2:$B$19,'chia CN SX'!$C51)</f>
        <v>0</v>
      </c>
      <c r="K51" s="419">
        <f>SUMIFS(SX!AB$2:AB$19,SX!$B$2:$B$19,'chia CN SX'!$C51)</f>
        <v>0</v>
      </c>
      <c r="L51" s="419">
        <f>SUMIFS(SX!AC$2:AC$19,SX!$B$2:$B$19,'chia CN SX'!$C51)</f>
        <v>0</v>
      </c>
      <c r="M51" s="419">
        <f>SUMIFS(SX!AD$2:AD$19,SX!$B$2:$B$19,'chia CN SX'!$C51)</f>
        <v>0</v>
      </c>
      <c r="N51" s="419">
        <f>SUMIFS(SX!AE$2:AE$19,SX!$B$2:$B$19,'chia CN SX'!$C51)</f>
        <v>0</v>
      </c>
      <c r="O51" s="419">
        <f>SUMIFS(SX!AF$2:AF$19,SX!$B$2:$B$19,'chia CN SX'!$C51)</f>
        <v>0</v>
      </c>
      <c r="P51" s="419">
        <f>SUMIFS(SX!AG$2:AG$19,SX!$B$2:$B$19,'chia CN SX'!$C51)</f>
        <v>0</v>
      </c>
      <c r="Q51" s="419">
        <f>SUMIFS(SX!AH$2:AH$19,SX!$B$2:$B$19,'chia CN SX'!$C51)</f>
        <v>0</v>
      </c>
      <c r="R51" s="419">
        <f>SUMIFS(SX!AI$2:AI$19,SX!$B$2:$B$19,'chia CN SX'!$C51)</f>
        <v>0</v>
      </c>
      <c r="S51" s="419">
        <f>SUMIFS(SX!AJ$2:AJ$19,SX!$B$2:$B$19,'chia CN SX'!$C51)</f>
        <v>0</v>
      </c>
      <c r="V51" s="80" t="e">
        <f>'chia CN boc xe'!U51</f>
        <v>#REF!</v>
      </c>
      <c r="W51" s="81">
        <f t="shared" si="48"/>
        <v>0</v>
      </c>
      <c r="X51" s="81">
        <f t="shared" si="34"/>
        <v>0</v>
      </c>
      <c r="Y51" s="81">
        <f t="shared" si="35"/>
        <v>0</v>
      </c>
      <c r="Z51" s="81">
        <f t="shared" si="36"/>
        <v>0</v>
      </c>
      <c r="AA51" s="81">
        <f t="shared" si="37"/>
        <v>0</v>
      </c>
      <c r="AB51" s="81">
        <f t="shared" si="38"/>
        <v>0</v>
      </c>
      <c r="AC51" s="81">
        <f t="shared" si="39"/>
        <v>0</v>
      </c>
      <c r="AD51" s="81">
        <f t="shared" si="40"/>
        <v>0</v>
      </c>
      <c r="AE51" s="81">
        <f t="shared" si="41"/>
        <v>0</v>
      </c>
      <c r="AF51" s="81">
        <f t="shared" si="42"/>
        <v>0</v>
      </c>
      <c r="AG51" s="81">
        <f t="shared" si="43"/>
        <v>0</v>
      </c>
      <c r="AH51" s="81">
        <f t="shared" si="44"/>
        <v>0</v>
      </c>
      <c r="AI51" s="81">
        <f t="shared" si="45"/>
        <v>0</v>
      </c>
      <c r="AJ51" s="81">
        <f t="shared" si="46"/>
        <v>0</v>
      </c>
      <c r="AK51" s="81">
        <f t="shared" si="47"/>
        <v>0</v>
      </c>
    </row>
    <row r="52" spans="1:37" x14ac:dyDescent="0.25">
      <c r="A52" s="421">
        <f t="shared" si="16"/>
        <v>50</v>
      </c>
      <c r="B52" s="331"/>
      <c r="C52" s="421"/>
      <c r="D52" s="419">
        <f>SUMIFS(SX!U$2:U$19,SX!$B$2:$B$19,'chia CN SX'!$C52)</f>
        <v>0</v>
      </c>
      <c r="E52" s="419">
        <f>SUMIFS(SX!V$2:V$19,SX!$B$2:$B$19,'chia CN SX'!$C52)</f>
        <v>0</v>
      </c>
      <c r="F52" s="419">
        <f>SUMIFS(SX!W$2:W$19,SX!$B$2:$B$19,'chia CN SX'!$C52)</f>
        <v>0</v>
      </c>
      <c r="G52" s="419">
        <f>SUMIFS(SX!X$2:X$19,SX!$B$2:$B$19,'chia CN SX'!$C52)</f>
        <v>0</v>
      </c>
      <c r="H52" s="419">
        <f>SUMIFS(SX!Y$2:Y$19,SX!$B$2:$B$19,'chia CN SX'!$C52)</f>
        <v>0</v>
      </c>
      <c r="I52" s="419">
        <f>SUMIFS(SX!Z$2:Z$19,SX!$B$2:$B$19,'chia CN SX'!$C52)</f>
        <v>0</v>
      </c>
      <c r="J52" s="419">
        <f>SUMIFS(SX!AA$2:AA$19,SX!$B$2:$B$19,'chia CN SX'!$C52)</f>
        <v>0</v>
      </c>
      <c r="K52" s="419">
        <f>SUMIFS(SX!AB$2:AB$19,SX!$B$2:$B$19,'chia CN SX'!$C52)</f>
        <v>0</v>
      </c>
      <c r="L52" s="419">
        <f>SUMIFS(SX!AC$2:AC$19,SX!$B$2:$B$19,'chia CN SX'!$C52)</f>
        <v>0</v>
      </c>
      <c r="M52" s="419">
        <f>SUMIFS(SX!AD$2:AD$19,SX!$B$2:$B$19,'chia CN SX'!$C52)</f>
        <v>0</v>
      </c>
      <c r="N52" s="419">
        <f>SUMIFS(SX!AE$2:AE$19,SX!$B$2:$B$19,'chia CN SX'!$C52)</f>
        <v>0</v>
      </c>
      <c r="O52" s="419">
        <f>SUMIFS(SX!AF$2:AF$19,SX!$B$2:$B$19,'chia CN SX'!$C52)</f>
        <v>0</v>
      </c>
      <c r="P52" s="419">
        <f>SUMIFS(SX!AG$2:AG$19,SX!$B$2:$B$19,'chia CN SX'!$C52)</f>
        <v>0</v>
      </c>
      <c r="Q52" s="419">
        <f>SUMIFS(SX!AH$2:AH$19,SX!$B$2:$B$19,'chia CN SX'!$C52)</f>
        <v>0</v>
      </c>
      <c r="R52" s="419">
        <f>SUMIFS(SX!AI$2:AI$19,SX!$B$2:$B$19,'chia CN SX'!$C52)</f>
        <v>0</v>
      </c>
      <c r="S52" s="419">
        <f>SUMIFS(SX!AJ$2:AJ$19,SX!$B$2:$B$19,'chia CN SX'!$C52)</f>
        <v>0</v>
      </c>
      <c r="V52" s="80" t="e">
        <f>'chia CN boc xe'!U52</f>
        <v>#REF!</v>
      </c>
      <c r="W52" s="81">
        <f t="shared" si="48"/>
        <v>0</v>
      </c>
      <c r="X52" s="81">
        <f t="shared" si="34"/>
        <v>0</v>
      </c>
      <c r="Y52" s="81">
        <f t="shared" si="35"/>
        <v>0</v>
      </c>
      <c r="Z52" s="81">
        <f t="shared" si="36"/>
        <v>0</v>
      </c>
      <c r="AA52" s="81">
        <f t="shared" si="37"/>
        <v>0</v>
      </c>
      <c r="AB52" s="81">
        <f t="shared" si="38"/>
        <v>0</v>
      </c>
      <c r="AC52" s="81">
        <f t="shared" si="39"/>
        <v>0</v>
      </c>
      <c r="AD52" s="81">
        <f t="shared" si="40"/>
        <v>0</v>
      </c>
      <c r="AE52" s="81">
        <f t="shared" si="41"/>
        <v>0</v>
      </c>
      <c r="AF52" s="81">
        <f t="shared" si="42"/>
        <v>0</v>
      </c>
      <c r="AG52" s="81">
        <f t="shared" si="43"/>
        <v>0</v>
      </c>
      <c r="AH52" s="81">
        <f t="shared" si="44"/>
        <v>0</v>
      </c>
      <c r="AI52" s="81">
        <f t="shared" si="45"/>
        <v>0</v>
      </c>
      <c r="AJ52" s="81">
        <f t="shared" si="46"/>
        <v>0</v>
      </c>
      <c r="AK52" s="81">
        <f t="shared" si="47"/>
        <v>0</v>
      </c>
    </row>
    <row r="53" spans="1:37" x14ac:dyDescent="0.25">
      <c r="A53" s="421">
        <f t="shared" si="16"/>
        <v>51</v>
      </c>
      <c r="B53" s="331"/>
      <c r="C53" s="421"/>
      <c r="D53" s="419">
        <f>SUMIFS(SX!U$2:U$19,SX!$B$2:$B$19,'chia CN SX'!$C53)</f>
        <v>0</v>
      </c>
      <c r="E53" s="419">
        <f>SUMIFS(SX!V$2:V$19,SX!$B$2:$B$19,'chia CN SX'!$C53)</f>
        <v>0</v>
      </c>
      <c r="F53" s="419">
        <f>SUMIFS(SX!W$2:W$19,SX!$B$2:$B$19,'chia CN SX'!$C53)</f>
        <v>0</v>
      </c>
      <c r="G53" s="419">
        <f>SUMIFS(SX!X$2:X$19,SX!$B$2:$B$19,'chia CN SX'!$C53)</f>
        <v>0</v>
      </c>
      <c r="H53" s="419">
        <f>SUMIFS(SX!Y$2:Y$19,SX!$B$2:$B$19,'chia CN SX'!$C53)</f>
        <v>0</v>
      </c>
      <c r="I53" s="419">
        <f>SUMIFS(SX!Z$2:Z$19,SX!$B$2:$B$19,'chia CN SX'!$C53)</f>
        <v>0</v>
      </c>
      <c r="J53" s="419">
        <f>SUMIFS(SX!AA$2:AA$19,SX!$B$2:$B$19,'chia CN SX'!$C53)</f>
        <v>0</v>
      </c>
      <c r="K53" s="419">
        <f>SUMIFS(SX!AB$2:AB$19,SX!$B$2:$B$19,'chia CN SX'!$C53)</f>
        <v>0</v>
      </c>
      <c r="L53" s="419">
        <f>SUMIFS(SX!AC$2:AC$19,SX!$B$2:$B$19,'chia CN SX'!$C53)</f>
        <v>0</v>
      </c>
      <c r="M53" s="419">
        <f>SUMIFS(SX!AD$2:AD$19,SX!$B$2:$B$19,'chia CN SX'!$C53)</f>
        <v>0</v>
      </c>
      <c r="N53" s="419">
        <f>SUMIFS(SX!AE$2:AE$19,SX!$B$2:$B$19,'chia CN SX'!$C53)</f>
        <v>0</v>
      </c>
      <c r="O53" s="419">
        <f>SUMIFS(SX!AF$2:AF$19,SX!$B$2:$B$19,'chia CN SX'!$C53)</f>
        <v>0</v>
      </c>
      <c r="P53" s="419">
        <f>SUMIFS(SX!AG$2:AG$19,SX!$B$2:$B$19,'chia CN SX'!$C53)</f>
        <v>0</v>
      </c>
      <c r="Q53" s="419">
        <f>SUMIFS(SX!AH$2:AH$19,SX!$B$2:$B$19,'chia CN SX'!$C53)</f>
        <v>0</v>
      </c>
      <c r="R53" s="419">
        <f>SUMIFS(SX!AI$2:AI$19,SX!$B$2:$B$19,'chia CN SX'!$C53)</f>
        <v>0</v>
      </c>
      <c r="S53" s="419">
        <f>SUMIFS(SX!AJ$2:AJ$19,SX!$B$2:$B$19,'chia CN SX'!$C53)</f>
        <v>0</v>
      </c>
      <c r="V53" s="543" t="e">
        <f>'chia CN boc xe'!U53</f>
        <v>#REF!</v>
      </c>
      <c r="W53" s="81">
        <f>SUMIF($B$3:$B$114,$V53,D$3:D$114)</f>
        <v>0</v>
      </c>
      <c r="X53" s="81">
        <f t="shared" si="34"/>
        <v>0</v>
      </c>
      <c r="Y53" s="81">
        <f t="shared" si="35"/>
        <v>0</v>
      </c>
      <c r="Z53" s="81">
        <f t="shared" si="36"/>
        <v>0</v>
      </c>
      <c r="AA53" s="81">
        <f t="shared" si="37"/>
        <v>0</v>
      </c>
      <c r="AB53" s="81">
        <f t="shared" si="38"/>
        <v>0</v>
      </c>
      <c r="AC53" s="81">
        <f t="shared" si="39"/>
        <v>0</v>
      </c>
      <c r="AD53" s="81">
        <f t="shared" si="40"/>
        <v>0</v>
      </c>
      <c r="AE53" s="81">
        <f t="shared" si="41"/>
        <v>0</v>
      </c>
      <c r="AF53" s="81">
        <f t="shared" si="42"/>
        <v>0</v>
      </c>
      <c r="AG53" s="81">
        <f t="shared" si="43"/>
        <v>0</v>
      </c>
      <c r="AH53" s="81">
        <f t="shared" si="44"/>
        <v>0</v>
      </c>
      <c r="AI53" s="81">
        <f t="shared" si="45"/>
        <v>0</v>
      </c>
      <c r="AJ53" s="81">
        <f t="shared" si="46"/>
        <v>0</v>
      </c>
      <c r="AK53" s="81">
        <f t="shared" si="47"/>
        <v>0</v>
      </c>
    </row>
    <row r="54" spans="1:37" x14ac:dyDescent="0.25">
      <c r="A54" s="421">
        <f t="shared" si="16"/>
        <v>52</v>
      </c>
      <c r="B54" s="331"/>
      <c r="C54" s="421"/>
      <c r="D54" s="419">
        <f>SUMIFS(SX!U$2:U$19,SX!$B$2:$B$19,'chia CN SX'!$C54)</f>
        <v>0</v>
      </c>
      <c r="E54" s="419">
        <f>SUMIFS(SX!V$2:V$19,SX!$B$2:$B$19,'chia CN SX'!$C54)</f>
        <v>0</v>
      </c>
      <c r="F54" s="419">
        <f>SUMIFS(SX!W$2:W$19,SX!$B$2:$B$19,'chia CN SX'!$C54)</f>
        <v>0</v>
      </c>
      <c r="G54" s="419">
        <f>SUMIFS(SX!X$2:X$19,SX!$B$2:$B$19,'chia CN SX'!$C54)</f>
        <v>0</v>
      </c>
      <c r="H54" s="419">
        <f>SUMIFS(SX!Y$2:Y$19,SX!$B$2:$B$19,'chia CN SX'!$C54)</f>
        <v>0</v>
      </c>
      <c r="I54" s="419">
        <f>SUMIFS(SX!Z$2:Z$19,SX!$B$2:$B$19,'chia CN SX'!$C54)</f>
        <v>0</v>
      </c>
      <c r="J54" s="419">
        <f>SUMIFS(SX!AA$2:AA$19,SX!$B$2:$B$19,'chia CN SX'!$C54)</f>
        <v>0</v>
      </c>
      <c r="K54" s="419">
        <f>SUMIFS(SX!AB$2:AB$19,SX!$B$2:$B$19,'chia CN SX'!$C54)</f>
        <v>0</v>
      </c>
      <c r="L54" s="419">
        <f>SUMIFS(SX!AC$2:AC$19,SX!$B$2:$B$19,'chia CN SX'!$C54)</f>
        <v>0</v>
      </c>
      <c r="M54" s="419">
        <f>SUMIFS(SX!AD$2:AD$19,SX!$B$2:$B$19,'chia CN SX'!$C54)</f>
        <v>0</v>
      </c>
      <c r="N54" s="419">
        <f>SUMIFS(SX!AE$2:AE$19,SX!$B$2:$B$19,'chia CN SX'!$C54)</f>
        <v>0</v>
      </c>
      <c r="O54" s="419">
        <f>SUMIFS(SX!AF$2:AF$19,SX!$B$2:$B$19,'chia CN SX'!$C54)</f>
        <v>0</v>
      </c>
      <c r="P54" s="419">
        <f>SUMIFS(SX!AG$2:AG$19,SX!$B$2:$B$19,'chia CN SX'!$C54)</f>
        <v>0</v>
      </c>
      <c r="Q54" s="419">
        <f>SUMIFS(SX!AH$2:AH$19,SX!$B$2:$B$19,'chia CN SX'!$C54)</f>
        <v>0</v>
      </c>
      <c r="R54" s="419">
        <f>SUMIFS(SX!AI$2:AI$19,SX!$B$2:$B$19,'chia CN SX'!$C54)</f>
        <v>0</v>
      </c>
      <c r="S54" s="419">
        <f>SUMIFS(SX!AJ$2:AJ$19,SX!$B$2:$B$19,'chia CN SX'!$C54)</f>
        <v>0</v>
      </c>
      <c r="V54" s="542" t="e">
        <f>'chia CN boc xe'!U54</f>
        <v>#REF!</v>
      </c>
      <c r="W54" s="81">
        <f t="shared" ref="W54:W59" si="49">SUMIF($B$3:$B$114,$V54,D$3:D$114)</f>
        <v>0</v>
      </c>
      <c r="X54" s="81">
        <f t="shared" si="34"/>
        <v>0</v>
      </c>
      <c r="Y54" s="81">
        <f t="shared" si="35"/>
        <v>0</v>
      </c>
      <c r="Z54" s="81">
        <f t="shared" si="36"/>
        <v>0</v>
      </c>
      <c r="AA54" s="81">
        <f t="shared" si="37"/>
        <v>0</v>
      </c>
      <c r="AB54" s="81">
        <f t="shared" si="38"/>
        <v>0</v>
      </c>
      <c r="AC54" s="81">
        <f t="shared" si="39"/>
        <v>0</v>
      </c>
      <c r="AD54" s="81">
        <f t="shared" si="40"/>
        <v>0</v>
      </c>
      <c r="AE54" s="81">
        <f t="shared" si="41"/>
        <v>0</v>
      </c>
      <c r="AF54" s="81">
        <f t="shared" si="42"/>
        <v>0</v>
      </c>
      <c r="AG54" s="81">
        <f t="shared" si="43"/>
        <v>0</v>
      </c>
      <c r="AH54" s="81">
        <f t="shared" si="44"/>
        <v>0</v>
      </c>
      <c r="AI54" s="81">
        <f t="shared" si="45"/>
        <v>0</v>
      </c>
      <c r="AJ54" s="81">
        <f t="shared" si="46"/>
        <v>0</v>
      </c>
      <c r="AK54" s="81">
        <f t="shared" si="47"/>
        <v>0</v>
      </c>
    </row>
    <row r="55" spans="1:37" x14ac:dyDescent="0.25">
      <c r="A55" s="421">
        <f t="shared" si="16"/>
        <v>53</v>
      </c>
      <c r="B55" s="331"/>
      <c r="C55" s="421"/>
      <c r="D55" s="419">
        <f>SUMIFS(SX!U$2:U$19,SX!$B$2:$B$19,'chia CN SX'!$C55)</f>
        <v>0</v>
      </c>
      <c r="E55" s="419">
        <f>SUMIFS(SX!V$2:V$19,SX!$B$2:$B$19,'chia CN SX'!$C55)</f>
        <v>0</v>
      </c>
      <c r="F55" s="419">
        <f>SUMIFS(SX!W$2:W$19,SX!$B$2:$B$19,'chia CN SX'!$C55)</f>
        <v>0</v>
      </c>
      <c r="G55" s="419">
        <f>SUMIFS(SX!X$2:X$19,SX!$B$2:$B$19,'chia CN SX'!$C55)</f>
        <v>0</v>
      </c>
      <c r="H55" s="419">
        <f>SUMIFS(SX!Y$2:Y$19,SX!$B$2:$B$19,'chia CN SX'!$C55)</f>
        <v>0</v>
      </c>
      <c r="I55" s="419">
        <f>SUMIFS(SX!Z$2:Z$19,SX!$B$2:$B$19,'chia CN SX'!$C55)</f>
        <v>0</v>
      </c>
      <c r="J55" s="419">
        <f>SUMIFS(SX!AA$2:AA$19,SX!$B$2:$B$19,'chia CN SX'!$C55)</f>
        <v>0</v>
      </c>
      <c r="K55" s="419">
        <f>SUMIFS(SX!AB$2:AB$19,SX!$B$2:$B$19,'chia CN SX'!$C55)</f>
        <v>0</v>
      </c>
      <c r="L55" s="419">
        <f>SUMIFS(SX!AC$2:AC$19,SX!$B$2:$B$19,'chia CN SX'!$C55)</f>
        <v>0</v>
      </c>
      <c r="M55" s="419">
        <f>SUMIFS(SX!AD$2:AD$19,SX!$B$2:$B$19,'chia CN SX'!$C55)</f>
        <v>0</v>
      </c>
      <c r="N55" s="419">
        <f>SUMIFS(SX!AE$2:AE$19,SX!$B$2:$B$19,'chia CN SX'!$C55)</f>
        <v>0</v>
      </c>
      <c r="O55" s="419">
        <f>SUMIFS(SX!AF$2:AF$19,SX!$B$2:$B$19,'chia CN SX'!$C55)</f>
        <v>0</v>
      </c>
      <c r="P55" s="419">
        <f>SUMIFS(SX!AG$2:AG$19,SX!$B$2:$B$19,'chia CN SX'!$C55)</f>
        <v>0</v>
      </c>
      <c r="Q55" s="419">
        <f>SUMIFS(SX!AH$2:AH$19,SX!$B$2:$B$19,'chia CN SX'!$C55)</f>
        <v>0</v>
      </c>
      <c r="R55" s="419">
        <f>SUMIFS(SX!AI$2:AI$19,SX!$B$2:$B$19,'chia CN SX'!$C55)</f>
        <v>0</v>
      </c>
      <c r="S55" s="419">
        <f>SUMIFS(SX!AJ$2:AJ$19,SX!$B$2:$B$19,'chia CN SX'!$C55)</f>
        <v>0</v>
      </c>
      <c r="V55" s="80" t="str">
        <f>'chia CN boc xe'!U55</f>
        <v>Trần văn Nguyện</v>
      </c>
      <c r="W55" s="81">
        <f t="shared" si="49"/>
        <v>0</v>
      </c>
      <c r="X55" s="81">
        <f t="shared" si="34"/>
        <v>0</v>
      </c>
      <c r="Y55" s="81">
        <f t="shared" si="35"/>
        <v>0</v>
      </c>
      <c r="Z55" s="81">
        <f t="shared" si="36"/>
        <v>0</v>
      </c>
      <c r="AA55" s="81">
        <f t="shared" si="37"/>
        <v>0</v>
      </c>
      <c r="AB55" s="81">
        <f t="shared" si="38"/>
        <v>0</v>
      </c>
      <c r="AC55" s="81">
        <f t="shared" si="39"/>
        <v>0</v>
      </c>
      <c r="AD55" s="81">
        <f t="shared" si="40"/>
        <v>0</v>
      </c>
      <c r="AE55" s="81">
        <f t="shared" si="41"/>
        <v>0</v>
      </c>
      <c r="AF55" s="81">
        <f t="shared" si="42"/>
        <v>0</v>
      </c>
      <c r="AG55" s="81">
        <f t="shared" si="43"/>
        <v>0</v>
      </c>
      <c r="AH55" s="81">
        <f t="shared" si="44"/>
        <v>0</v>
      </c>
      <c r="AI55" s="81">
        <f t="shared" si="45"/>
        <v>0</v>
      </c>
      <c r="AJ55" s="81">
        <f t="shared" si="46"/>
        <v>0</v>
      </c>
      <c r="AK55" s="81">
        <f t="shared" si="47"/>
        <v>0</v>
      </c>
    </row>
    <row r="56" spans="1:37" x14ac:dyDescent="0.25">
      <c r="A56" s="421">
        <f t="shared" si="16"/>
        <v>54</v>
      </c>
      <c r="B56" s="331"/>
      <c r="C56" s="421"/>
      <c r="D56" s="419">
        <f>SUMIFS(SX!U$2:U$19,SX!$B$2:$B$19,'chia CN SX'!$C56)</f>
        <v>0</v>
      </c>
      <c r="E56" s="419">
        <f>SUMIFS(SX!V$2:V$19,SX!$B$2:$B$19,'chia CN SX'!$C56)</f>
        <v>0</v>
      </c>
      <c r="F56" s="419">
        <f>SUMIFS(SX!W$2:W$19,SX!$B$2:$B$19,'chia CN SX'!$C56)</f>
        <v>0</v>
      </c>
      <c r="G56" s="419">
        <f>SUMIFS(SX!X$2:X$19,SX!$B$2:$B$19,'chia CN SX'!$C56)</f>
        <v>0</v>
      </c>
      <c r="H56" s="419">
        <f>SUMIFS(SX!Y$2:Y$19,SX!$B$2:$B$19,'chia CN SX'!$C56)</f>
        <v>0</v>
      </c>
      <c r="I56" s="419">
        <f>SUMIFS(SX!Z$2:Z$19,SX!$B$2:$B$19,'chia CN SX'!$C56)</f>
        <v>0</v>
      </c>
      <c r="J56" s="419">
        <f>SUMIFS(SX!AA$2:AA$19,SX!$B$2:$B$19,'chia CN SX'!$C56)</f>
        <v>0</v>
      </c>
      <c r="K56" s="419">
        <f>SUMIFS(SX!AB$2:AB$19,SX!$B$2:$B$19,'chia CN SX'!$C56)</f>
        <v>0</v>
      </c>
      <c r="L56" s="419">
        <f>SUMIFS(SX!AC$2:AC$19,SX!$B$2:$B$19,'chia CN SX'!$C56)</f>
        <v>0</v>
      </c>
      <c r="M56" s="419">
        <f>SUMIFS(SX!AD$2:AD$19,SX!$B$2:$B$19,'chia CN SX'!$C56)</f>
        <v>0</v>
      </c>
      <c r="N56" s="419">
        <f>SUMIFS(SX!AE$2:AE$19,SX!$B$2:$B$19,'chia CN SX'!$C56)</f>
        <v>0</v>
      </c>
      <c r="O56" s="419">
        <f>SUMIFS(SX!AF$2:AF$19,SX!$B$2:$B$19,'chia CN SX'!$C56)</f>
        <v>0</v>
      </c>
      <c r="P56" s="419">
        <f>SUMIFS(SX!AG$2:AG$19,SX!$B$2:$B$19,'chia CN SX'!$C56)</f>
        <v>0</v>
      </c>
      <c r="Q56" s="419">
        <f>SUMIFS(SX!AH$2:AH$19,SX!$B$2:$B$19,'chia CN SX'!$C56)</f>
        <v>0</v>
      </c>
      <c r="R56" s="419">
        <f>SUMIFS(SX!AI$2:AI$19,SX!$B$2:$B$19,'chia CN SX'!$C56)</f>
        <v>0</v>
      </c>
      <c r="S56" s="419">
        <f>SUMIFS(SX!AJ$2:AJ$19,SX!$B$2:$B$19,'chia CN SX'!$C56)</f>
        <v>0</v>
      </c>
      <c r="V56" s="543" t="e">
        <f>'chia CN boc xe'!U56</f>
        <v>#REF!</v>
      </c>
      <c r="W56" s="81">
        <f t="shared" si="49"/>
        <v>0</v>
      </c>
      <c r="X56" s="81">
        <f t="shared" si="34"/>
        <v>0</v>
      </c>
      <c r="Y56" s="81">
        <f t="shared" si="35"/>
        <v>0</v>
      </c>
      <c r="Z56" s="81">
        <f t="shared" si="36"/>
        <v>0</v>
      </c>
      <c r="AA56" s="81">
        <f t="shared" si="37"/>
        <v>0</v>
      </c>
      <c r="AB56" s="81">
        <f t="shared" si="38"/>
        <v>0</v>
      </c>
      <c r="AC56" s="81">
        <f t="shared" si="39"/>
        <v>0</v>
      </c>
      <c r="AD56" s="81">
        <f t="shared" si="40"/>
        <v>0</v>
      </c>
      <c r="AE56" s="81">
        <f t="shared" si="41"/>
        <v>0</v>
      </c>
      <c r="AF56" s="81">
        <f t="shared" si="42"/>
        <v>0</v>
      </c>
      <c r="AG56" s="81">
        <f t="shared" si="43"/>
        <v>0</v>
      </c>
      <c r="AH56" s="81">
        <f t="shared" si="44"/>
        <v>0</v>
      </c>
      <c r="AI56" s="81">
        <f t="shared" si="45"/>
        <v>0</v>
      </c>
      <c r="AJ56" s="81">
        <f t="shared" si="46"/>
        <v>0</v>
      </c>
      <c r="AK56" s="81">
        <f t="shared" si="47"/>
        <v>0</v>
      </c>
    </row>
    <row r="57" spans="1:37" x14ac:dyDescent="0.25">
      <c r="A57" s="421">
        <f t="shared" si="16"/>
        <v>55</v>
      </c>
      <c r="B57" s="331"/>
      <c r="C57" s="35"/>
      <c r="D57" s="419">
        <f>SUMIFS(SX!U$2:U$19,SX!$B$2:$B$19,'chia CN SX'!$C57)</f>
        <v>0</v>
      </c>
      <c r="E57" s="419">
        <f>SUMIFS(SX!V$2:V$19,SX!$B$2:$B$19,'chia CN SX'!$C57)</f>
        <v>0</v>
      </c>
      <c r="F57" s="419">
        <f>SUMIFS(SX!W$2:W$19,SX!$B$2:$B$19,'chia CN SX'!$C57)</f>
        <v>0</v>
      </c>
      <c r="G57" s="419">
        <f>SUMIFS(SX!X$2:X$19,SX!$B$2:$B$19,'chia CN SX'!$C57)</f>
        <v>0</v>
      </c>
      <c r="H57" s="419">
        <f>SUMIFS(SX!Y$2:Y$19,SX!$B$2:$B$19,'chia CN SX'!$C57)</f>
        <v>0</v>
      </c>
      <c r="I57" s="419">
        <f>SUMIFS(SX!Z$2:Z$19,SX!$B$2:$B$19,'chia CN SX'!$C57)</f>
        <v>0</v>
      </c>
      <c r="J57" s="419">
        <f>SUMIFS(SX!AA$2:AA$19,SX!$B$2:$B$19,'chia CN SX'!$C57)</f>
        <v>0</v>
      </c>
      <c r="K57" s="419">
        <f>SUMIFS(SX!AB$2:AB$19,SX!$B$2:$B$19,'chia CN SX'!$C57)</f>
        <v>0</v>
      </c>
      <c r="L57" s="419">
        <f>SUMIFS(SX!AC$2:AC$19,SX!$B$2:$B$19,'chia CN SX'!$C57)</f>
        <v>0</v>
      </c>
      <c r="M57" s="419">
        <f>SUMIFS(SX!AD$2:AD$19,SX!$B$2:$B$19,'chia CN SX'!$C57)</f>
        <v>0</v>
      </c>
      <c r="N57" s="419">
        <f>SUMIFS(SX!AE$2:AE$19,SX!$B$2:$B$19,'chia CN SX'!$C57)</f>
        <v>0</v>
      </c>
      <c r="O57" s="419">
        <f>SUMIFS(SX!AF$2:AF$19,SX!$B$2:$B$19,'chia CN SX'!$C57)</f>
        <v>0</v>
      </c>
      <c r="P57" s="419">
        <f>SUMIFS(SX!AG$2:AG$19,SX!$B$2:$B$19,'chia CN SX'!$C57)</f>
        <v>0</v>
      </c>
      <c r="Q57" s="419">
        <f>SUMIFS(SX!AH$2:AH$19,SX!$B$2:$B$19,'chia CN SX'!$C57)</f>
        <v>0</v>
      </c>
      <c r="R57" s="419">
        <f>SUMIFS(SX!AI$2:AI$19,SX!$B$2:$B$19,'chia CN SX'!$C57)</f>
        <v>0</v>
      </c>
      <c r="S57" s="419">
        <f>SUMIFS(SX!AJ$2:AJ$19,SX!$B$2:$B$19,'chia CN SX'!$C57)</f>
        <v>0</v>
      </c>
      <c r="V57" s="543" t="e">
        <f>'chia CN boc xe'!U57</f>
        <v>#REF!</v>
      </c>
      <c r="W57" s="81">
        <f t="shared" si="49"/>
        <v>0</v>
      </c>
      <c r="X57" s="81">
        <f t="shared" si="34"/>
        <v>0</v>
      </c>
      <c r="Y57" s="81">
        <f t="shared" si="35"/>
        <v>0</v>
      </c>
      <c r="Z57" s="81">
        <f t="shared" si="36"/>
        <v>0</v>
      </c>
      <c r="AA57" s="81">
        <f t="shared" si="37"/>
        <v>0</v>
      </c>
      <c r="AB57" s="81">
        <f t="shared" si="38"/>
        <v>0</v>
      </c>
      <c r="AC57" s="81">
        <f t="shared" si="39"/>
        <v>0</v>
      </c>
      <c r="AD57" s="81">
        <f t="shared" si="40"/>
        <v>0</v>
      </c>
      <c r="AE57" s="81">
        <f t="shared" si="41"/>
        <v>0</v>
      </c>
      <c r="AF57" s="81">
        <f t="shared" si="42"/>
        <v>0</v>
      </c>
      <c r="AG57" s="81">
        <f t="shared" si="43"/>
        <v>0</v>
      </c>
      <c r="AH57" s="81">
        <f t="shared" si="44"/>
        <v>0</v>
      </c>
      <c r="AI57" s="81">
        <f t="shared" si="45"/>
        <v>0</v>
      </c>
      <c r="AJ57" s="81">
        <f t="shared" si="46"/>
        <v>0</v>
      </c>
      <c r="AK57" s="81">
        <f t="shared" si="47"/>
        <v>0</v>
      </c>
    </row>
    <row r="58" spans="1:37" x14ac:dyDescent="0.25">
      <c r="A58" s="421">
        <f t="shared" si="16"/>
        <v>56</v>
      </c>
      <c r="B58" s="331"/>
      <c r="C58" s="35"/>
      <c r="D58" s="419">
        <f>SUMIFS(SX!U$2:U$19,SX!$B$2:$B$19,'chia CN SX'!$C58)</f>
        <v>0</v>
      </c>
      <c r="E58" s="419">
        <f>SUMIFS(SX!V$2:V$19,SX!$B$2:$B$19,'chia CN SX'!$C58)</f>
        <v>0</v>
      </c>
      <c r="F58" s="419">
        <f>SUMIFS(SX!W$2:W$19,SX!$B$2:$B$19,'chia CN SX'!$C58)</f>
        <v>0</v>
      </c>
      <c r="G58" s="419">
        <f>SUMIFS(SX!X$2:X$19,SX!$B$2:$B$19,'chia CN SX'!$C58)</f>
        <v>0</v>
      </c>
      <c r="H58" s="419">
        <f>SUMIFS(SX!Y$2:Y$19,SX!$B$2:$B$19,'chia CN SX'!$C58)</f>
        <v>0</v>
      </c>
      <c r="I58" s="419">
        <f>SUMIFS(SX!Z$2:Z$19,SX!$B$2:$B$19,'chia CN SX'!$C58)</f>
        <v>0</v>
      </c>
      <c r="J58" s="419">
        <f>SUMIFS(SX!AA$2:AA$19,SX!$B$2:$B$19,'chia CN SX'!$C58)</f>
        <v>0</v>
      </c>
      <c r="K58" s="419">
        <f>SUMIFS(SX!AB$2:AB$19,SX!$B$2:$B$19,'chia CN SX'!$C58)</f>
        <v>0</v>
      </c>
      <c r="L58" s="419">
        <f>SUMIFS(SX!AC$2:AC$19,SX!$B$2:$B$19,'chia CN SX'!$C58)</f>
        <v>0</v>
      </c>
      <c r="M58" s="419">
        <f>SUMIFS(SX!AD$2:AD$19,SX!$B$2:$B$19,'chia CN SX'!$C58)</f>
        <v>0</v>
      </c>
      <c r="N58" s="419">
        <f>SUMIFS(SX!AE$2:AE$19,SX!$B$2:$B$19,'chia CN SX'!$C58)</f>
        <v>0</v>
      </c>
      <c r="O58" s="419">
        <f>SUMIFS(SX!AF$2:AF$19,SX!$B$2:$B$19,'chia CN SX'!$C58)</f>
        <v>0</v>
      </c>
      <c r="P58" s="419">
        <f>SUMIFS(SX!AG$2:AG$19,SX!$B$2:$B$19,'chia CN SX'!$C58)</f>
        <v>0</v>
      </c>
      <c r="Q58" s="419">
        <f>SUMIFS(SX!AH$2:AH$19,SX!$B$2:$B$19,'chia CN SX'!$C58)</f>
        <v>0</v>
      </c>
      <c r="R58" s="419">
        <f>SUMIFS(SX!AI$2:AI$19,SX!$B$2:$B$19,'chia CN SX'!$C58)</f>
        <v>0</v>
      </c>
      <c r="S58" s="419">
        <f>SUMIFS(SX!AJ$2:AJ$19,SX!$B$2:$B$19,'chia CN SX'!$C58)</f>
        <v>0</v>
      </c>
      <c r="V58" s="543" t="e">
        <f>'chia CN boc xe'!U58</f>
        <v>#REF!</v>
      </c>
      <c r="W58" s="81">
        <f t="shared" si="49"/>
        <v>0</v>
      </c>
      <c r="X58" s="81">
        <f t="shared" si="34"/>
        <v>0</v>
      </c>
      <c r="Y58" s="81">
        <f t="shared" si="35"/>
        <v>0</v>
      </c>
      <c r="Z58" s="81">
        <f t="shared" si="36"/>
        <v>0</v>
      </c>
      <c r="AA58" s="81">
        <f t="shared" si="37"/>
        <v>0</v>
      </c>
      <c r="AB58" s="81">
        <f t="shared" si="38"/>
        <v>0</v>
      </c>
      <c r="AC58" s="81">
        <f t="shared" si="39"/>
        <v>0</v>
      </c>
      <c r="AD58" s="81">
        <f t="shared" si="40"/>
        <v>0</v>
      </c>
      <c r="AE58" s="81">
        <f t="shared" si="41"/>
        <v>0</v>
      </c>
      <c r="AF58" s="81">
        <f t="shared" si="42"/>
        <v>0</v>
      </c>
      <c r="AG58" s="81">
        <f t="shared" si="43"/>
        <v>0</v>
      </c>
      <c r="AH58" s="81">
        <f t="shared" si="44"/>
        <v>0</v>
      </c>
      <c r="AI58" s="81">
        <f t="shared" si="45"/>
        <v>0</v>
      </c>
      <c r="AJ58" s="81">
        <f t="shared" si="46"/>
        <v>0</v>
      </c>
      <c r="AK58" s="81">
        <f t="shared" si="47"/>
        <v>0</v>
      </c>
    </row>
    <row r="59" spans="1:37" x14ac:dyDescent="0.25">
      <c r="A59" s="421">
        <f t="shared" si="16"/>
        <v>57</v>
      </c>
      <c r="B59" s="331"/>
      <c r="C59" s="35"/>
      <c r="D59" s="419">
        <f>SUMIFS(SX!U$2:U$19,SX!$B$2:$B$19,'chia CN SX'!$C59)</f>
        <v>0</v>
      </c>
      <c r="E59" s="419">
        <f>SUMIFS(SX!V$2:V$19,SX!$B$2:$B$19,'chia CN SX'!$C59)</f>
        <v>0</v>
      </c>
      <c r="F59" s="419">
        <f>SUMIFS(SX!W$2:W$19,SX!$B$2:$B$19,'chia CN SX'!$C59)</f>
        <v>0</v>
      </c>
      <c r="G59" s="419">
        <f>SUMIFS(SX!X$2:X$19,SX!$B$2:$B$19,'chia CN SX'!$C59)</f>
        <v>0</v>
      </c>
      <c r="H59" s="419">
        <f>SUMIFS(SX!Y$2:Y$19,SX!$B$2:$B$19,'chia CN SX'!$C59)</f>
        <v>0</v>
      </c>
      <c r="I59" s="419">
        <f>SUMIFS(SX!Z$2:Z$19,SX!$B$2:$B$19,'chia CN SX'!$C59)</f>
        <v>0</v>
      </c>
      <c r="J59" s="419">
        <f>SUMIFS(SX!AA$2:AA$19,SX!$B$2:$B$19,'chia CN SX'!$C59)</f>
        <v>0</v>
      </c>
      <c r="K59" s="419">
        <f>SUMIFS(SX!AB$2:AB$19,SX!$B$2:$B$19,'chia CN SX'!$C59)</f>
        <v>0</v>
      </c>
      <c r="L59" s="419">
        <f>SUMIFS(SX!AC$2:AC$19,SX!$B$2:$B$19,'chia CN SX'!$C59)</f>
        <v>0</v>
      </c>
      <c r="M59" s="419">
        <f>SUMIFS(SX!AD$2:AD$19,SX!$B$2:$B$19,'chia CN SX'!$C59)</f>
        <v>0</v>
      </c>
      <c r="N59" s="419">
        <f>SUMIFS(SX!AE$2:AE$19,SX!$B$2:$B$19,'chia CN SX'!$C59)</f>
        <v>0</v>
      </c>
      <c r="O59" s="419">
        <f>SUMIFS(SX!AF$2:AF$19,SX!$B$2:$B$19,'chia CN SX'!$C59)</f>
        <v>0</v>
      </c>
      <c r="P59" s="419">
        <f>SUMIFS(SX!AG$2:AG$19,SX!$B$2:$B$19,'chia CN SX'!$C59)</f>
        <v>0</v>
      </c>
      <c r="Q59" s="419">
        <f>SUMIFS(SX!AH$2:AH$19,SX!$B$2:$B$19,'chia CN SX'!$C59)</f>
        <v>0</v>
      </c>
      <c r="R59" s="419">
        <f>SUMIFS(SX!AI$2:AI$19,SX!$B$2:$B$19,'chia CN SX'!$C59)</f>
        <v>0</v>
      </c>
      <c r="S59" s="419">
        <f>SUMIFS(SX!AJ$2:AJ$19,SX!$B$2:$B$19,'chia CN SX'!$C59)</f>
        <v>0</v>
      </c>
      <c r="V59" s="542" t="e">
        <f>'chia CN boc xe'!U59</f>
        <v>#REF!</v>
      </c>
      <c r="W59" s="81">
        <f t="shared" si="49"/>
        <v>0</v>
      </c>
      <c r="X59" s="81">
        <f t="shared" si="34"/>
        <v>0</v>
      </c>
      <c r="Y59" s="81">
        <f t="shared" si="35"/>
        <v>0</v>
      </c>
      <c r="Z59" s="81">
        <f t="shared" si="36"/>
        <v>0</v>
      </c>
      <c r="AA59" s="81">
        <f t="shared" si="37"/>
        <v>0</v>
      </c>
      <c r="AB59" s="81">
        <f t="shared" si="38"/>
        <v>0</v>
      </c>
      <c r="AC59" s="81">
        <f t="shared" si="39"/>
        <v>0</v>
      </c>
      <c r="AD59" s="81">
        <f t="shared" si="40"/>
        <v>0</v>
      </c>
      <c r="AE59" s="81">
        <f t="shared" si="41"/>
        <v>0</v>
      </c>
      <c r="AF59" s="81">
        <f t="shared" si="42"/>
        <v>0</v>
      </c>
      <c r="AG59" s="81">
        <f t="shared" si="43"/>
        <v>0</v>
      </c>
      <c r="AH59" s="81">
        <f t="shared" si="44"/>
        <v>0</v>
      </c>
      <c r="AI59" s="81">
        <f t="shared" si="45"/>
        <v>0</v>
      </c>
      <c r="AJ59" s="81">
        <f t="shared" si="46"/>
        <v>0</v>
      </c>
      <c r="AK59" s="81">
        <f t="shared" si="47"/>
        <v>0</v>
      </c>
    </row>
    <row r="60" spans="1:37" x14ac:dyDescent="0.25">
      <c r="A60" s="421">
        <f t="shared" si="16"/>
        <v>58</v>
      </c>
      <c r="B60" s="331"/>
      <c r="C60" s="35"/>
      <c r="D60" s="419">
        <f>SUMIFS(SX!U$2:U$19,SX!$B$2:$B$19,'chia CN SX'!$C60)</f>
        <v>0</v>
      </c>
      <c r="E60" s="419">
        <f>SUMIFS(SX!V$2:V$19,SX!$B$2:$B$19,'chia CN SX'!$C60)</f>
        <v>0</v>
      </c>
      <c r="F60" s="419">
        <f>SUMIFS(SX!W$2:W$19,SX!$B$2:$B$19,'chia CN SX'!$C60)</f>
        <v>0</v>
      </c>
      <c r="G60" s="419">
        <f>SUMIFS(SX!X$2:X$19,SX!$B$2:$B$19,'chia CN SX'!$C60)</f>
        <v>0</v>
      </c>
      <c r="H60" s="419">
        <f>SUMIFS(SX!Y$2:Y$19,SX!$B$2:$B$19,'chia CN SX'!$C60)</f>
        <v>0</v>
      </c>
      <c r="I60" s="419">
        <f>SUMIFS(SX!Z$2:Z$19,SX!$B$2:$B$19,'chia CN SX'!$C60)</f>
        <v>0</v>
      </c>
      <c r="J60" s="419">
        <f>SUMIFS(SX!AA$2:AA$19,SX!$B$2:$B$19,'chia CN SX'!$C60)</f>
        <v>0</v>
      </c>
      <c r="K60" s="419">
        <f>SUMIFS(SX!AB$2:AB$19,SX!$B$2:$B$19,'chia CN SX'!$C60)</f>
        <v>0</v>
      </c>
      <c r="L60" s="419">
        <f>SUMIFS(SX!AC$2:AC$19,SX!$B$2:$B$19,'chia CN SX'!$C60)</f>
        <v>0</v>
      </c>
      <c r="M60" s="419">
        <f>SUMIFS(SX!AD$2:AD$19,SX!$B$2:$B$19,'chia CN SX'!$C60)</f>
        <v>0</v>
      </c>
      <c r="N60" s="419">
        <f>SUMIFS(SX!AE$2:AE$19,SX!$B$2:$B$19,'chia CN SX'!$C60)</f>
        <v>0</v>
      </c>
      <c r="O60" s="419">
        <f>SUMIFS(SX!AF$2:AF$19,SX!$B$2:$B$19,'chia CN SX'!$C60)</f>
        <v>0</v>
      </c>
      <c r="P60" s="419">
        <f>SUMIFS(SX!AG$2:AG$19,SX!$B$2:$B$19,'chia CN SX'!$C60)</f>
        <v>0</v>
      </c>
      <c r="Q60" s="419">
        <f>SUMIFS(SX!AH$2:AH$19,SX!$B$2:$B$19,'chia CN SX'!$C60)</f>
        <v>0</v>
      </c>
      <c r="R60" s="419">
        <f>SUMIFS(SX!AI$2:AI$19,SX!$B$2:$B$19,'chia CN SX'!$C60)</f>
        <v>0</v>
      </c>
      <c r="S60" s="419">
        <f>SUMIFS(SX!AJ$2:AJ$19,SX!$B$2:$B$19,'chia CN SX'!$C60)</f>
        <v>0</v>
      </c>
      <c r="V60" s="80" t="e">
        <f>'chia CN boc xe'!U60</f>
        <v>#REF!</v>
      </c>
      <c r="W60" s="81">
        <f>SUMIF($B$3:$B$114,$V60,D$3:D$114)</f>
        <v>0</v>
      </c>
      <c r="X60" s="81">
        <f t="shared" si="34"/>
        <v>0</v>
      </c>
      <c r="Y60" s="81">
        <f t="shared" si="35"/>
        <v>0</v>
      </c>
      <c r="Z60" s="81">
        <f t="shared" si="36"/>
        <v>0</v>
      </c>
      <c r="AA60" s="81">
        <f t="shared" si="37"/>
        <v>0</v>
      </c>
      <c r="AB60" s="81">
        <f t="shared" si="38"/>
        <v>0</v>
      </c>
      <c r="AC60" s="81">
        <f t="shared" si="39"/>
        <v>0</v>
      </c>
      <c r="AD60" s="81">
        <f t="shared" si="40"/>
        <v>0</v>
      </c>
      <c r="AE60" s="81">
        <f t="shared" si="41"/>
        <v>0</v>
      </c>
      <c r="AF60" s="81">
        <f t="shared" si="42"/>
        <v>0</v>
      </c>
      <c r="AG60" s="81">
        <f t="shared" si="43"/>
        <v>0</v>
      </c>
      <c r="AH60" s="81">
        <f t="shared" si="44"/>
        <v>0</v>
      </c>
      <c r="AI60" s="81">
        <f t="shared" si="45"/>
        <v>0</v>
      </c>
      <c r="AJ60" s="81">
        <f t="shared" si="46"/>
        <v>0</v>
      </c>
      <c r="AK60" s="81">
        <f t="shared" si="47"/>
        <v>0</v>
      </c>
    </row>
    <row r="61" spans="1:37" x14ac:dyDescent="0.25">
      <c r="A61" s="421">
        <f t="shared" si="16"/>
        <v>59</v>
      </c>
      <c r="B61" s="331"/>
      <c r="C61" s="35"/>
      <c r="D61" s="419">
        <f>SUMIFS(SX!U$2:U$19,SX!$B$2:$B$19,'chia CN SX'!$C61)</f>
        <v>0</v>
      </c>
      <c r="E61" s="419">
        <f>SUMIFS(SX!V$2:V$19,SX!$B$2:$B$19,'chia CN SX'!$C61)</f>
        <v>0</v>
      </c>
      <c r="F61" s="419">
        <f>SUMIFS(SX!W$2:W$19,SX!$B$2:$B$19,'chia CN SX'!$C61)</f>
        <v>0</v>
      </c>
      <c r="G61" s="419">
        <f>SUMIFS(SX!X$2:X$19,SX!$B$2:$B$19,'chia CN SX'!$C61)</f>
        <v>0</v>
      </c>
      <c r="H61" s="419">
        <f>SUMIFS(SX!Y$2:Y$19,SX!$B$2:$B$19,'chia CN SX'!$C61)</f>
        <v>0</v>
      </c>
      <c r="I61" s="419">
        <f>SUMIFS(SX!Z$2:Z$19,SX!$B$2:$B$19,'chia CN SX'!$C61)</f>
        <v>0</v>
      </c>
      <c r="J61" s="419">
        <f>SUMIFS(SX!AA$2:AA$19,SX!$B$2:$B$19,'chia CN SX'!$C61)</f>
        <v>0</v>
      </c>
      <c r="K61" s="419">
        <f>SUMIFS(SX!AB$2:AB$19,SX!$B$2:$B$19,'chia CN SX'!$C61)</f>
        <v>0</v>
      </c>
      <c r="L61" s="419">
        <f>SUMIFS(SX!AC$2:AC$19,SX!$B$2:$B$19,'chia CN SX'!$C61)</f>
        <v>0</v>
      </c>
      <c r="M61" s="419">
        <f>SUMIFS(SX!AD$2:AD$19,SX!$B$2:$B$19,'chia CN SX'!$C61)</f>
        <v>0</v>
      </c>
      <c r="N61" s="419">
        <f>SUMIFS(SX!AE$2:AE$19,SX!$B$2:$B$19,'chia CN SX'!$C61)</f>
        <v>0</v>
      </c>
      <c r="O61" s="419">
        <f>SUMIFS(SX!AF$2:AF$19,SX!$B$2:$B$19,'chia CN SX'!$C61)</f>
        <v>0</v>
      </c>
      <c r="P61" s="419">
        <f>SUMIFS(SX!AG$2:AG$19,SX!$B$2:$B$19,'chia CN SX'!$C61)</f>
        <v>0</v>
      </c>
      <c r="Q61" s="419">
        <f>SUMIFS(SX!AH$2:AH$19,SX!$B$2:$B$19,'chia CN SX'!$C61)</f>
        <v>0</v>
      </c>
      <c r="R61" s="419">
        <f>SUMIFS(SX!AI$2:AI$19,SX!$B$2:$B$19,'chia CN SX'!$C61)</f>
        <v>0</v>
      </c>
      <c r="S61" s="419">
        <f>SUMIFS(SX!AJ$2:AJ$19,SX!$B$2:$B$19,'chia CN SX'!$C61)</f>
        <v>0</v>
      </c>
      <c r="V61" s="542" t="e">
        <f>'chia CN boc xe'!U61</f>
        <v>#REF!</v>
      </c>
      <c r="W61" s="81">
        <f t="shared" ref="W61:W72" si="50">SUMIF($B$3:$B$114,$V61,D$3:D$114)</f>
        <v>0</v>
      </c>
      <c r="X61" s="81">
        <f t="shared" si="34"/>
        <v>0</v>
      </c>
      <c r="Y61" s="81">
        <f t="shared" si="35"/>
        <v>0</v>
      </c>
      <c r="Z61" s="81">
        <f t="shared" si="36"/>
        <v>0</v>
      </c>
      <c r="AA61" s="81">
        <f t="shared" si="37"/>
        <v>0</v>
      </c>
      <c r="AB61" s="81">
        <f t="shared" si="38"/>
        <v>0</v>
      </c>
      <c r="AC61" s="81">
        <f t="shared" si="39"/>
        <v>0</v>
      </c>
      <c r="AD61" s="81">
        <f t="shared" si="40"/>
        <v>0</v>
      </c>
      <c r="AE61" s="81">
        <f t="shared" si="41"/>
        <v>0</v>
      </c>
      <c r="AF61" s="81">
        <f t="shared" si="42"/>
        <v>0</v>
      </c>
      <c r="AG61" s="81">
        <f t="shared" si="43"/>
        <v>0</v>
      </c>
      <c r="AH61" s="81">
        <f t="shared" si="44"/>
        <v>0</v>
      </c>
      <c r="AI61" s="81">
        <f t="shared" si="45"/>
        <v>0</v>
      </c>
      <c r="AJ61" s="81">
        <f t="shared" si="46"/>
        <v>0</v>
      </c>
      <c r="AK61" s="81">
        <f t="shared" si="47"/>
        <v>0</v>
      </c>
    </row>
    <row r="62" spans="1:37" x14ac:dyDescent="0.25">
      <c r="A62" s="421">
        <f t="shared" si="16"/>
        <v>60</v>
      </c>
      <c r="B62" s="331"/>
      <c r="C62" s="35"/>
      <c r="D62" s="419">
        <f>SUMIFS(SX!U$2:U$19,SX!$B$2:$B$19,'chia CN SX'!$C62)</f>
        <v>0</v>
      </c>
      <c r="E62" s="419">
        <f>SUMIFS(SX!V$2:V$19,SX!$B$2:$B$19,'chia CN SX'!$C62)</f>
        <v>0</v>
      </c>
      <c r="F62" s="419">
        <f>SUMIFS(SX!W$2:W$19,SX!$B$2:$B$19,'chia CN SX'!$C62)</f>
        <v>0</v>
      </c>
      <c r="G62" s="419">
        <f>SUMIFS(SX!X$2:X$19,SX!$B$2:$B$19,'chia CN SX'!$C62)</f>
        <v>0</v>
      </c>
      <c r="H62" s="419">
        <f>SUMIFS(SX!Y$2:Y$19,SX!$B$2:$B$19,'chia CN SX'!$C62)</f>
        <v>0</v>
      </c>
      <c r="I62" s="419">
        <f>SUMIFS(SX!Z$2:Z$19,SX!$B$2:$B$19,'chia CN SX'!$C62)</f>
        <v>0</v>
      </c>
      <c r="J62" s="419">
        <f>SUMIFS(SX!AA$2:AA$19,SX!$B$2:$B$19,'chia CN SX'!$C62)</f>
        <v>0</v>
      </c>
      <c r="K62" s="419">
        <f>SUMIFS(SX!AB$2:AB$19,SX!$B$2:$B$19,'chia CN SX'!$C62)</f>
        <v>0</v>
      </c>
      <c r="L62" s="419">
        <f>SUMIFS(SX!AC$2:AC$19,SX!$B$2:$B$19,'chia CN SX'!$C62)</f>
        <v>0</v>
      </c>
      <c r="M62" s="419">
        <f>SUMIFS(SX!AD$2:AD$19,SX!$B$2:$B$19,'chia CN SX'!$C62)</f>
        <v>0</v>
      </c>
      <c r="N62" s="419">
        <f>SUMIFS(SX!AE$2:AE$19,SX!$B$2:$B$19,'chia CN SX'!$C62)</f>
        <v>0</v>
      </c>
      <c r="O62" s="419">
        <f>SUMIFS(SX!AF$2:AF$19,SX!$B$2:$B$19,'chia CN SX'!$C62)</f>
        <v>0</v>
      </c>
      <c r="P62" s="419">
        <f>SUMIFS(SX!AG$2:AG$19,SX!$B$2:$B$19,'chia CN SX'!$C62)</f>
        <v>0</v>
      </c>
      <c r="Q62" s="419">
        <f>SUMIFS(SX!AH$2:AH$19,SX!$B$2:$B$19,'chia CN SX'!$C62)</f>
        <v>0</v>
      </c>
      <c r="R62" s="419">
        <f>SUMIFS(SX!AI$2:AI$19,SX!$B$2:$B$19,'chia CN SX'!$C62)</f>
        <v>0</v>
      </c>
      <c r="S62" s="419">
        <f>SUMIFS(SX!AJ$2:AJ$19,SX!$B$2:$B$19,'chia CN SX'!$C62)</f>
        <v>0</v>
      </c>
      <c r="V62" s="542" t="e">
        <f>'chia CN boc xe'!U62</f>
        <v>#REF!</v>
      </c>
      <c r="W62" s="81">
        <f t="shared" si="50"/>
        <v>0</v>
      </c>
      <c r="X62" s="81">
        <f t="shared" si="34"/>
        <v>0</v>
      </c>
      <c r="Y62" s="81">
        <f t="shared" si="35"/>
        <v>0</v>
      </c>
      <c r="Z62" s="81">
        <f t="shared" si="36"/>
        <v>0</v>
      </c>
      <c r="AA62" s="81">
        <f t="shared" si="37"/>
        <v>0</v>
      </c>
      <c r="AB62" s="81">
        <f t="shared" si="38"/>
        <v>0</v>
      </c>
      <c r="AC62" s="81">
        <f t="shared" si="39"/>
        <v>0</v>
      </c>
      <c r="AD62" s="81">
        <f t="shared" si="40"/>
        <v>0</v>
      </c>
      <c r="AE62" s="81">
        <f t="shared" si="41"/>
        <v>0</v>
      </c>
      <c r="AF62" s="81">
        <f t="shared" si="42"/>
        <v>0</v>
      </c>
      <c r="AG62" s="81">
        <f t="shared" si="43"/>
        <v>0</v>
      </c>
      <c r="AH62" s="81">
        <f t="shared" si="44"/>
        <v>0</v>
      </c>
      <c r="AI62" s="81">
        <f t="shared" si="45"/>
        <v>0</v>
      </c>
      <c r="AJ62" s="81">
        <f t="shared" si="46"/>
        <v>0</v>
      </c>
      <c r="AK62" s="81">
        <f t="shared" si="47"/>
        <v>0</v>
      </c>
    </row>
    <row r="63" spans="1:37" x14ac:dyDescent="0.25">
      <c r="A63" s="421">
        <f t="shared" si="16"/>
        <v>61</v>
      </c>
      <c r="B63" s="331"/>
      <c r="C63" s="35"/>
      <c r="D63" s="419">
        <f>SUMIFS(SX!U$2:U$19,SX!$B$2:$B$19,'chia CN SX'!$C63)</f>
        <v>0</v>
      </c>
      <c r="E63" s="419">
        <f>SUMIFS(SX!V$2:V$19,SX!$B$2:$B$19,'chia CN SX'!$C63)</f>
        <v>0</v>
      </c>
      <c r="F63" s="419">
        <f>SUMIFS(SX!W$2:W$19,SX!$B$2:$B$19,'chia CN SX'!$C63)</f>
        <v>0</v>
      </c>
      <c r="G63" s="419">
        <f>SUMIFS(SX!X$2:X$19,SX!$B$2:$B$19,'chia CN SX'!$C63)</f>
        <v>0</v>
      </c>
      <c r="H63" s="419">
        <f>SUMIFS(SX!Y$2:Y$19,SX!$B$2:$B$19,'chia CN SX'!$C63)</f>
        <v>0</v>
      </c>
      <c r="I63" s="419">
        <f>SUMIFS(SX!Z$2:Z$19,SX!$B$2:$B$19,'chia CN SX'!$C63)</f>
        <v>0</v>
      </c>
      <c r="J63" s="419">
        <f>SUMIFS(SX!AA$2:AA$19,SX!$B$2:$B$19,'chia CN SX'!$C63)</f>
        <v>0</v>
      </c>
      <c r="K63" s="419">
        <f>SUMIFS(SX!AB$2:AB$19,SX!$B$2:$B$19,'chia CN SX'!$C63)</f>
        <v>0</v>
      </c>
      <c r="L63" s="419">
        <f>SUMIFS(SX!AC$2:AC$19,SX!$B$2:$B$19,'chia CN SX'!$C63)</f>
        <v>0</v>
      </c>
      <c r="M63" s="419">
        <f>SUMIFS(SX!AD$2:AD$19,SX!$B$2:$B$19,'chia CN SX'!$C63)</f>
        <v>0</v>
      </c>
      <c r="N63" s="419">
        <f>SUMIFS(SX!AE$2:AE$19,SX!$B$2:$B$19,'chia CN SX'!$C63)</f>
        <v>0</v>
      </c>
      <c r="O63" s="419">
        <f>SUMIFS(SX!AF$2:AF$19,SX!$B$2:$B$19,'chia CN SX'!$C63)</f>
        <v>0</v>
      </c>
      <c r="P63" s="419">
        <f>SUMIFS(SX!AG$2:AG$19,SX!$B$2:$B$19,'chia CN SX'!$C63)</f>
        <v>0</v>
      </c>
      <c r="Q63" s="419">
        <f>SUMIFS(SX!AH$2:AH$19,SX!$B$2:$B$19,'chia CN SX'!$C63)</f>
        <v>0</v>
      </c>
      <c r="R63" s="419">
        <f>SUMIFS(SX!AI$2:AI$19,SX!$B$2:$B$19,'chia CN SX'!$C63)</f>
        <v>0</v>
      </c>
      <c r="S63" s="419">
        <f>SUMIFS(SX!AJ$2:AJ$19,SX!$B$2:$B$19,'chia CN SX'!$C63)</f>
        <v>0</v>
      </c>
      <c r="V63" s="542" t="e">
        <f>'chia CN boc xe'!U63</f>
        <v>#REF!</v>
      </c>
      <c r="W63" s="81">
        <f t="shared" si="50"/>
        <v>0</v>
      </c>
      <c r="X63" s="81">
        <f t="shared" si="34"/>
        <v>0</v>
      </c>
      <c r="Y63" s="81">
        <f t="shared" si="35"/>
        <v>0</v>
      </c>
      <c r="Z63" s="81">
        <f t="shared" si="36"/>
        <v>0</v>
      </c>
      <c r="AA63" s="81">
        <f t="shared" si="37"/>
        <v>0</v>
      </c>
      <c r="AB63" s="81">
        <f t="shared" si="38"/>
        <v>0</v>
      </c>
      <c r="AC63" s="81">
        <f t="shared" si="39"/>
        <v>0</v>
      </c>
      <c r="AD63" s="81">
        <f t="shared" si="40"/>
        <v>0</v>
      </c>
      <c r="AE63" s="81">
        <f t="shared" si="41"/>
        <v>0</v>
      </c>
      <c r="AF63" s="81">
        <f t="shared" si="42"/>
        <v>0</v>
      </c>
      <c r="AG63" s="81">
        <f t="shared" si="43"/>
        <v>0</v>
      </c>
      <c r="AH63" s="81">
        <f t="shared" si="44"/>
        <v>0</v>
      </c>
      <c r="AI63" s="81">
        <f t="shared" si="45"/>
        <v>0</v>
      </c>
      <c r="AJ63" s="81">
        <f t="shared" si="46"/>
        <v>0</v>
      </c>
      <c r="AK63" s="81">
        <f t="shared" si="47"/>
        <v>0</v>
      </c>
    </row>
    <row r="64" spans="1:37" x14ac:dyDescent="0.25">
      <c r="A64" s="421">
        <f t="shared" si="16"/>
        <v>62</v>
      </c>
      <c r="B64" s="331"/>
      <c r="C64" s="35"/>
      <c r="D64" s="419">
        <f>SUMIFS(SX!U$2:U$19,SX!$B$2:$B$19,'chia CN SX'!$C64)</f>
        <v>0</v>
      </c>
      <c r="E64" s="419">
        <f>SUMIFS(SX!V$2:V$19,SX!$B$2:$B$19,'chia CN SX'!$C64)</f>
        <v>0</v>
      </c>
      <c r="F64" s="419">
        <f>SUMIFS(SX!W$2:W$19,SX!$B$2:$B$19,'chia CN SX'!$C64)</f>
        <v>0</v>
      </c>
      <c r="G64" s="419">
        <f>SUMIFS(SX!X$2:X$19,SX!$B$2:$B$19,'chia CN SX'!$C64)</f>
        <v>0</v>
      </c>
      <c r="H64" s="419">
        <f>SUMIFS(SX!Y$2:Y$19,SX!$B$2:$B$19,'chia CN SX'!$C64)</f>
        <v>0</v>
      </c>
      <c r="I64" s="419">
        <f>SUMIFS(SX!Z$2:Z$19,SX!$B$2:$B$19,'chia CN SX'!$C64)</f>
        <v>0</v>
      </c>
      <c r="J64" s="419">
        <f>SUMIFS(SX!AA$2:AA$19,SX!$B$2:$B$19,'chia CN SX'!$C64)</f>
        <v>0</v>
      </c>
      <c r="K64" s="419">
        <f>SUMIFS(SX!AB$2:AB$19,SX!$B$2:$B$19,'chia CN SX'!$C64)</f>
        <v>0</v>
      </c>
      <c r="L64" s="419">
        <f>SUMIFS(SX!AC$2:AC$19,SX!$B$2:$B$19,'chia CN SX'!$C64)</f>
        <v>0</v>
      </c>
      <c r="M64" s="419">
        <f>SUMIFS(SX!AD$2:AD$19,SX!$B$2:$B$19,'chia CN SX'!$C64)</f>
        <v>0</v>
      </c>
      <c r="N64" s="419">
        <f>SUMIFS(SX!AE$2:AE$19,SX!$B$2:$B$19,'chia CN SX'!$C64)</f>
        <v>0</v>
      </c>
      <c r="O64" s="419">
        <f>SUMIFS(SX!AF$2:AF$19,SX!$B$2:$B$19,'chia CN SX'!$C64)</f>
        <v>0</v>
      </c>
      <c r="P64" s="419">
        <f>SUMIFS(SX!AG$2:AG$19,SX!$B$2:$B$19,'chia CN SX'!$C64)</f>
        <v>0</v>
      </c>
      <c r="Q64" s="419">
        <f>SUMIFS(SX!AH$2:AH$19,SX!$B$2:$B$19,'chia CN SX'!$C64)</f>
        <v>0</v>
      </c>
      <c r="R64" s="419">
        <f>SUMIFS(SX!AI$2:AI$19,SX!$B$2:$B$19,'chia CN SX'!$C64)</f>
        <v>0</v>
      </c>
      <c r="S64" s="419">
        <f>SUMIFS(SX!AJ$2:AJ$19,SX!$B$2:$B$19,'chia CN SX'!$C64)</f>
        <v>0</v>
      </c>
      <c r="V64" s="543" t="e">
        <f>'chia CN boc xe'!U64</f>
        <v>#REF!</v>
      </c>
      <c r="W64" s="81">
        <f t="shared" si="50"/>
        <v>0</v>
      </c>
      <c r="X64" s="81">
        <f t="shared" si="34"/>
        <v>0</v>
      </c>
      <c r="Y64" s="81">
        <f t="shared" si="35"/>
        <v>0</v>
      </c>
      <c r="Z64" s="81">
        <f t="shared" si="36"/>
        <v>0</v>
      </c>
      <c r="AA64" s="81">
        <f t="shared" si="37"/>
        <v>0</v>
      </c>
      <c r="AB64" s="81">
        <f t="shared" si="38"/>
        <v>0</v>
      </c>
      <c r="AC64" s="81">
        <f t="shared" si="39"/>
        <v>0</v>
      </c>
      <c r="AD64" s="81">
        <f t="shared" si="40"/>
        <v>0</v>
      </c>
      <c r="AE64" s="81">
        <f t="shared" si="41"/>
        <v>0</v>
      </c>
      <c r="AF64" s="81">
        <f t="shared" si="42"/>
        <v>0</v>
      </c>
      <c r="AG64" s="81">
        <f t="shared" si="43"/>
        <v>0</v>
      </c>
      <c r="AH64" s="81">
        <f t="shared" si="44"/>
        <v>0</v>
      </c>
      <c r="AI64" s="81">
        <f t="shared" si="45"/>
        <v>0</v>
      </c>
      <c r="AJ64" s="81">
        <f t="shared" si="46"/>
        <v>0</v>
      </c>
      <c r="AK64" s="81">
        <f t="shared" si="47"/>
        <v>0</v>
      </c>
    </row>
    <row r="65" spans="1:37" x14ac:dyDescent="0.25">
      <c r="A65" s="421">
        <f t="shared" si="16"/>
        <v>63</v>
      </c>
      <c r="B65" s="331"/>
      <c r="C65" s="35"/>
      <c r="D65" s="419">
        <f>SUMIFS(SX!U$2:U$19,SX!$B$2:$B$19,'chia CN SX'!$C65)</f>
        <v>0</v>
      </c>
      <c r="E65" s="419">
        <f>SUMIFS(SX!V$2:V$19,SX!$B$2:$B$19,'chia CN SX'!$C65)</f>
        <v>0</v>
      </c>
      <c r="F65" s="419">
        <f>SUMIFS(SX!W$2:W$19,SX!$B$2:$B$19,'chia CN SX'!$C65)</f>
        <v>0</v>
      </c>
      <c r="G65" s="419">
        <f>SUMIFS(SX!X$2:X$19,SX!$B$2:$B$19,'chia CN SX'!$C65)</f>
        <v>0</v>
      </c>
      <c r="H65" s="419">
        <f>SUMIFS(SX!Y$2:Y$19,SX!$B$2:$B$19,'chia CN SX'!$C65)</f>
        <v>0</v>
      </c>
      <c r="I65" s="419">
        <f>SUMIFS(SX!Z$2:Z$19,SX!$B$2:$B$19,'chia CN SX'!$C65)</f>
        <v>0</v>
      </c>
      <c r="J65" s="419">
        <f>SUMIFS(SX!AA$2:AA$19,SX!$B$2:$B$19,'chia CN SX'!$C65)</f>
        <v>0</v>
      </c>
      <c r="K65" s="419">
        <f>SUMIFS(SX!AB$2:AB$19,SX!$B$2:$B$19,'chia CN SX'!$C65)</f>
        <v>0</v>
      </c>
      <c r="L65" s="419">
        <f>SUMIFS(SX!AC$2:AC$19,SX!$B$2:$B$19,'chia CN SX'!$C65)</f>
        <v>0</v>
      </c>
      <c r="M65" s="419">
        <f>SUMIFS(SX!AD$2:AD$19,SX!$B$2:$B$19,'chia CN SX'!$C65)</f>
        <v>0</v>
      </c>
      <c r="N65" s="419">
        <f>SUMIFS(SX!AE$2:AE$19,SX!$B$2:$B$19,'chia CN SX'!$C65)</f>
        <v>0</v>
      </c>
      <c r="O65" s="419">
        <f>SUMIFS(SX!AF$2:AF$19,SX!$B$2:$B$19,'chia CN SX'!$C65)</f>
        <v>0</v>
      </c>
      <c r="P65" s="419">
        <f>SUMIFS(SX!AG$2:AG$19,SX!$B$2:$B$19,'chia CN SX'!$C65)</f>
        <v>0</v>
      </c>
      <c r="Q65" s="419">
        <f>SUMIFS(SX!AH$2:AH$19,SX!$B$2:$B$19,'chia CN SX'!$C65)</f>
        <v>0</v>
      </c>
      <c r="R65" s="419">
        <f>SUMIFS(SX!AI$2:AI$19,SX!$B$2:$B$19,'chia CN SX'!$C65)</f>
        <v>0</v>
      </c>
      <c r="S65" s="419">
        <f>SUMIFS(SX!AJ$2:AJ$19,SX!$B$2:$B$19,'chia CN SX'!$C65)</f>
        <v>0</v>
      </c>
      <c r="V65" s="544" t="e">
        <f>'chia CN boc xe'!U65</f>
        <v>#REF!</v>
      </c>
      <c r="W65" s="81">
        <f t="shared" si="50"/>
        <v>0</v>
      </c>
      <c r="X65" s="81">
        <f t="shared" si="34"/>
        <v>0</v>
      </c>
      <c r="Y65" s="81">
        <f t="shared" si="35"/>
        <v>0</v>
      </c>
      <c r="Z65" s="81">
        <f t="shared" si="36"/>
        <v>0</v>
      </c>
      <c r="AA65" s="81">
        <f t="shared" si="37"/>
        <v>0</v>
      </c>
      <c r="AB65" s="81">
        <f t="shared" si="38"/>
        <v>0</v>
      </c>
      <c r="AC65" s="81">
        <f t="shared" si="39"/>
        <v>0</v>
      </c>
      <c r="AD65" s="81">
        <f t="shared" si="40"/>
        <v>0</v>
      </c>
      <c r="AE65" s="81">
        <f t="shared" si="41"/>
        <v>0</v>
      </c>
      <c r="AF65" s="81">
        <f t="shared" si="42"/>
        <v>0</v>
      </c>
      <c r="AG65" s="81">
        <f t="shared" si="43"/>
        <v>0</v>
      </c>
      <c r="AH65" s="81">
        <f t="shared" si="44"/>
        <v>0</v>
      </c>
      <c r="AI65" s="81">
        <f t="shared" si="45"/>
        <v>0</v>
      </c>
      <c r="AJ65" s="81">
        <f t="shared" si="46"/>
        <v>0</v>
      </c>
      <c r="AK65" s="81">
        <f t="shared" si="47"/>
        <v>0</v>
      </c>
    </row>
    <row r="66" spans="1:37" x14ac:dyDescent="0.25">
      <c r="A66" s="421">
        <f t="shared" si="16"/>
        <v>64</v>
      </c>
      <c r="B66" s="331"/>
      <c r="C66" s="35"/>
      <c r="D66" s="419">
        <f>SUMIFS(SX!U$2:U$19,SX!$B$2:$B$19,'chia CN SX'!$C66)</f>
        <v>0</v>
      </c>
      <c r="E66" s="419">
        <f>SUMIFS(SX!V$2:V$19,SX!$B$2:$B$19,'chia CN SX'!$C66)</f>
        <v>0</v>
      </c>
      <c r="F66" s="419">
        <f>SUMIFS(SX!W$2:W$19,SX!$B$2:$B$19,'chia CN SX'!$C66)</f>
        <v>0</v>
      </c>
      <c r="G66" s="419">
        <f>SUMIFS(SX!X$2:X$19,SX!$B$2:$B$19,'chia CN SX'!$C66)</f>
        <v>0</v>
      </c>
      <c r="H66" s="419">
        <f>SUMIFS(SX!Y$2:Y$19,SX!$B$2:$B$19,'chia CN SX'!$C66)</f>
        <v>0</v>
      </c>
      <c r="I66" s="419">
        <f>SUMIFS(SX!Z$2:Z$19,SX!$B$2:$B$19,'chia CN SX'!$C66)</f>
        <v>0</v>
      </c>
      <c r="J66" s="419">
        <f>SUMIFS(SX!AA$2:AA$19,SX!$B$2:$B$19,'chia CN SX'!$C66)</f>
        <v>0</v>
      </c>
      <c r="K66" s="419">
        <f>SUMIFS(SX!AB$2:AB$19,SX!$B$2:$B$19,'chia CN SX'!$C66)</f>
        <v>0</v>
      </c>
      <c r="L66" s="419">
        <f>SUMIFS(SX!AC$2:AC$19,SX!$B$2:$B$19,'chia CN SX'!$C66)</f>
        <v>0</v>
      </c>
      <c r="M66" s="419">
        <f>SUMIFS(SX!AD$2:AD$19,SX!$B$2:$B$19,'chia CN SX'!$C66)</f>
        <v>0</v>
      </c>
      <c r="N66" s="419">
        <f>SUMIFS(SX!AE$2:AE$19,SX!$B$2:$B$19,'chia CN SX'!$C66)</f>
        <v>0</v>
      </c>
      <c r="O66" s="419">
        <f>SUMIFS(SX!AF$2:AF$19,SX!$B$2:$B$19,'chia CN SX'!$C66)</f>
        <v>0</v>
      </c>
      <c r="P66" s="419">
        <f>SUMIFS(SX!AG$2:AG$19,SX!$B$2:$B$19,'chia CN SX'!$C66)</f>
        <v>0</v>
      </c>
      <c r="Q66" s="419">
        <f>SUMIFS(SX!AH$2:AH$19,SX!$B$2:$B$19,'chia CN SX'!$C66)</f>
        <v>0</v>
      </c>
      <c r="R66" s="419">
        <f>SUMIFS(SX!AI$2:AI$19,SX!$B$2:$B$19,'chia CN SX'!$C66)</f>
        <v>0</v>
      </c>
      <c r="S66" s="419">
        <f>SUMIFS(SX!AJ$2:AJ$19,SX!$B$2:$B$19,'chia CN SX'!$C66)</f>
        <v>0</v>
      </c>
      <c r="V66" s="80" t="e">
        <f>'chia CN boc xe'!U66</f>
        <v>#REF!</v>
      </c>
      <c r="W66" s="81">
        <f t="shared" si="50"/>
        <v>0</v>
      </c>
      <c r="X66" s="81">
        <f t="shared" si="34"/>
        <v>0</v>
      </c>
      <c r="Y66" s="81">
        <f t="shared" si="35"/>
        <v>0</v>
      </c>
      <c r="Z66" s="81">
        <f t="shared" si="36"/>
        <v>0</v>
      </c>
      <c r="AA66" s="81">
        <f t="shared" si="37"/>
        <v>0</v>
      </c>
      <c r="AB66" s="81">
        <f t="shared" si="38"/>
        <v>0</v>
      </c>
      <c r="AC66" s="81">
        <f t="shared" si="39"/>
        <v>0</v>
      </c>
      <c r="AD66" s="81">
        <f t="shared" si="40"/>
        <v>0</v>
      </c>
      <c r="AE66" s="81">
        <f t="shared" si="41"/>
        <v>0</v>
      </c>
      <c r="AF66" s="81">
        <f t="shared" si="42"/>
        <v>0</v>
      </c>
      <c r="AG66" s="81">
        <f t="shared" si="43"/>
        <v>0</v>
      </c>
      <c r="AH66" s="81">
        <f t="shared" si="44"/>
        <v>0</v>
      </c>
      <c r="AI66" s="81">
        <f t="shared" si="45"/>
        <v>0</v>
      </c>
      <c r="AJ66" s="81">
        <f t="shared" si="46"/>
        <v>0</v>
      </c>
      <c r="AK66" s="81">
        <f t="shared" si="47"/>
        <v>0</v>
      </c>
    </row>
    <row r="67" spans="1:37" x14ac:dyDescent="0.25">
      <c r="A67" s="421">
        <f t="shared" si="16"/>
        <v>65</v>
      </c>
      <c r="B67" s="331"/>
      <c r="C67" s="35"/>
      <c r="D67" s="419">
        <f>SUMIFS(SX!U$2:U$19,SX!$B$2:$B$19,'chia CN SX'!$C67)</f>
        <v>0</v>
      </c>
      <c r="E67" s="419">
        <f>SUMIFS(SX!V$2:V$19,SX!$B$2:$B$19,'chia CN SX'!$C67)</f>
        <v>0</v>
      </c>
      <c r="F67" s="419">
        <f>SUMIFS(SX!W$2:W$19,SX!$B$2:$B$19,'chia CN SX'!$C67)</f>
        <v>0</v>
      </c>
      <c r="G67" s="419">
        <f>SUMIFS(SX!X$2:X$19,SX!$B$2:$B$19,'chia CN SX'!$C67)</f>
        <v>0</v>
      </c>
      <c r="H67" s="419">
        <f>SUMIFS(SX!Y$2:Y$19,SX!$B$2:$B$19,'chia CN SX'!$C67)</f>
        <v>0</v>
      </c>
      <c r="I67" s="419">
        <f>SUMIFS(SX!Z$2:Z$19,SX!$B$2:$B$19,'chia CN SX'!$C67)</f>
        <v>0</v>
      </c>
      <c r="J67" s="419">
        <f>SUMIFS(SX!AA$2:AA$19,SX!$B$2:$B$19,'chia CN SX'!$C67)</f>
        <v>0</v>
      </c>
      <c r="K67" s="419">
        <f>SUMIFS(SX!AB$2:AB$19,SX!$B$2:$B$19,'chia CN SX'!$C67)</f>
        <v>0</v>
      </c>
      <c r="L67" s="419">
        <f>SUMIFS(SX!AC$2:AC$19,SX!$B$2:$B$19,'chia CN SX'!$C67)</f>
        <v>0</v>
      </c>
      <c r="M67" s="419">
        <f>SUMIFS(SX!AD$2:AD$19,SX!$B$2:$B$19,'chia CN SX'!$C67)</f>
        <v>0</v>
      </c>
      <c r="N67" s="419">
        <f>SUMIFS(SX!AE$2:AE$19,SX!$B$2:$B$19,'chia CN SX'!$C67)</f>
        <v>0</v>
      </c>
      <c r="O67" s="419">
        <f>SUMIFS(SX!AF$2:AF$19,SX!$B$2:$B$19,'chia CN SX'!$C67)</f>
        <v>0</v>
      </c>
      <c r="P67" s="419">
        <f>SUMIFS(SX!AG$2:AG$19,SX!$B$2:$B$19,'chia CN SX'!$C67)</f>
        <v>0</v>
      </c>
      <c r="Q67" s="419">
        <f>SUMIFS(SX!AH$2:AH$19,SX!$B$2:$B$19,'chia CN SX'!$C67)</f>
        <v>0</v>
      </c>
      <c r="R67" s="419">
        <f>SUMIFS(SX!AI$2:AI$19,SX!$B$2:$B$19,'chia CN SX'!$C67)</f>
        <v>0</v>
      </c>
      <c r="S67" s="419">
        <f>SUMIFS(SX!AJ$2:AJ$19,SX!$B$2:$B$19,'chia CN SX'!$C67)</f>
        <v>0</v>
      </c>
      <c r="V67" s="80" t="e">
        <f>'chia CN boc xe'!U67</f>
        <v>#REF!</v>
      </c>
      <c r="W67" s="81">
        <f t="shared" si="50"/>
        <v>0</v>
      </c>
      <c r="X67" s="81">
        <f t="shared" si="34"/>
        <v>0</v>
      </c>
      <c r="Y67" s="81">
        <f t="shared" si="35"/>
        <v>0</v>
      </c>
      <c r="Z67" s="81">
        <f t="shared" si="36"/>
        <v>0</v>
      </c>
      <c r="AA67" s="81">
        <f t="shared" si="37"/>
        <v>0</v>
      </c>
      <c r="AB67" s="81">
        <f t="shared" si="38"/>
        <v>0</v>
      </c>
      <c r="AC67" s="81">
        <f t="shared" si="39"/>
        <v>0</v>
      </c>
      <c r="AD67" s="81">
        <f t="shared" si="40"/>
        <v>0</v>
      </c>
      <c r="AE67" s="81">
        <f t="shared" si="41"/>
        <v>0</v>
      </c>
      <c r="AF67" s="81">
        <f t="shared" si="42"/>
        <v>0</v>
      </c>
      <c r="AG67" s="81">
        <f t="shared" si="43"/>
        <v>0</v>
      </c>
      <c r="AH67" s="81">
        <f t="shared" si="44"/>
        <v>0</v>
      </c>
      <c r="AI67" s="81">
        <f t="shared" si="45"/>
        <v>0</v>
      </c>
      <c r="AJ67" s="81">
        <f t="shared" si="46"/>
        <v>0</v>
      </c>
      <c r="AK67" s="81">
        <f t="shared" si="47"/>
        <v>0</v>
      </c>
    </row>
    <row r="68" spans="1:37" x14ac:dyDescent="0.25">
      <c r="A68" s="421">
        <f t="shared" ref="A68:A114" si="51">A67+1</f>
        <v>66</v>
      </c>
      <c r="B68" s="331"/>
      <c r="C68" s="35"/>
      <c r="D68" s="419">
        <f>SUMIFS(SX!U$2:U$19,SX!$B$2:$B$19,'chia CN SX'!$C68)</f>
        <v>0</v>
      </c>
      <c r="E68" s="419">
        <f>SUMIFS(SX!V$2:V$19,SX!$B$2:$B$19,'chia CN SX'!$C68)</f>
        <v>0</v>
      </c>
      <c r="F68" s="419">
        <f>SUMIFS(SX!W$2:W$19,SX!$B$2:$B$19,'chia CN SX'!$C68)</f>
        <v>0</v>
      </c>
      <c r="G68" s="419">
        <f>SUMIFS(SX!X$2:X$19,SX!$B$2:$B$19,'chia CN SX'!$C68)</f>
        <v>0</v>
      </c>
      <c r="H68" s="419">
        <f>SUMIFS(SX!Y$2:Y$19,SX!$B$2:$B$19,'chia CN SX'!$C68)</f>
        <v>0</v>
      </c>
      <c r="I68" s="419">
        <f>SUMIFS(SX!Z$2:Z$19,SX!$B$2:$B$19,'chia CN SX'!$C68)</f>
        <v>0</v>
      </c>
      <c r="J68" s="419">
        <f>SUMIFS(SX!AA$2:AA$19,SX!$B$2:$B$19,'chia CN SX'!$C68)</f>
        <v>0</v>
      </c>
      <c r="K68" s="419">
        <f>SUMIFS(SX!AB$2:AB$19,SX!$B$2:$B$19,'chia CN SX'!$C68)</f>
        <v>0</v>
      </c>
      <c r="L68" s="419">
        <f>SUMIFS(SX!AC$2:AC$19,SX!$B$2:$B$19,'chia CN SX'!$C68)</f>
        <v>0</v>
      </c>
      <c r="M68" s="419">
        <f>SUMIFS(SX!AD$2:AD$19,SX!$B$2:$B$19,'chia CN SX'!$C68)</f>
        <v>0</v>
      </c>
      <c r="N68" s="419">
        <f>SUMIFS(SX!AE$2:AE$19,SX!$B$2:$B$19,'chia CN SX'!$C68)</f>
        <v>0</v>
      </c>
      <c r="O68" s="419">
        <f>SUMIFS(SX!AF$2:AF$19,SX!$B$2:$B$19,'chia CN SX'!$C68)</f>
        <v>0</v>
      </c>
      <c r="P68" s="419">
        <f>SUMIFS(SX!AG$2:AG$19,SX!$B$2:$B$19,'chia CN SX'!$C68)</f>
        <v>0</v>
      </c>
      <c r="Q68" s="419">
        <f>SUMIFS(SX!AH$2:AH$19,SX!$B$2:$B$19,'chia CN SX'!$C68)</f>
        <v>0</v>
      </c>
      <c r="R68" s="419">
        <f>SUMIFS(SX!AI$2:AI$19,SX!$B$2:$B$19,'chia CN SX'!$C68)</f>
        <v>0</v>
      </c>
      <c r="S68" s="419">
        <f>SUMIFS(SX!AJ$2:AJ$19,SX!$B$2:$B$19,'chia CN SX'!$C68)</f>
        <v>0</v>
      </c>
      <c r="V68" s="80" t="e">
        <f>'chia CN boc xe'!U68</f>
        <v>#REF!</v>
      </c>
      <c r="W68" s="81">
        <f t="shared" si="50"/>
        <v>0</v>
      </c>
      <c r="X68" s="81">
        <f t="shared" si="34"/>
        <v>0</v>
      </c>
      <c r="Y68" s="81">
        <f t="shared" si="35"/>
        <v>0</v>
      </c>
      <c r="Z68" s="81">
        <f t="shared" si="36"/>
        <v>0</v>
      </c>
      <c r="AA68" s="81">
        <f t="shared" si="37"/>
        <v>0</v>
      </c>
      <c r="AB68" s="81">
        <f t="shared" si="38"/>
        <v>0</v>
      </c>
      <c r="AC68" s="81">
        <f t="shared" si="39"/>
        <v>0</v>
      </c>
      <c r="AD68" s="81">
        <f t="shared" si="40"/>
        <v>0</v>
      </c>
      <c r="AE68" s="81">
        <f t="shared" si="41"/>
        <v>0</v>
      </c>
      <c r="AF68" s="81">
        <f t="shared" si="42"/>
        <v>0</v>
      </c>
      <c r="AG68" s="81">
        <f t="shared" si="43"/>
        <v>0</v>
      </c>
      <c r="AH68" s="81">
        <f t="shared" si="44"/>
        <v>0</v>
      </c>
      <c r="AI68" s="81">
        <f t="shared" si="45"/>
        <v>0</v>
      </c>
      <c r="AJ68" s="81">
        <f t="shared" si="46"/>
        <v>0</v>
      </c>
      <c r="AK68" s="81">
        <f t="shared" si="47"/>
        <v>0</v>
      </c>
    </row>
    <row r="69" spans="1:37" x14ac:dyDescent="0.25">
      <c r="A69" s="421">
        <f t="shared" si="51"/>
        <v>67</v>
      </c>
      <c r="B69" s="331"/>
      <c r="C69" s="35"/>
      <c r="D69" s="419">
        <f>SUMIFS(SX!U$2:U$19,SX!$B$2:$B$19,'chia CN SX'!$C69)</f>
        <v>0</v>
      </c>
      <c r="E69" s="419">
        <f>SUMIFS(SX!V$2:V$19,SX!$B$2:$B$19,'chia CN SX'!$C69)</f>
        <v>0</v>
      </c>
      <c r="F69" s="419">
        <f>SUMIFS(SX!W$2:W$19,SX!$B$2:$B$19,'chia CN SX'!$C69)</f>
        <v>0</v>
      </c>
      <c r="G69" s="419">
        <f>SUMIFS(SX!X$2:X$19,SX!$B$2:$B$19,'chia CN SX'!$C69)</f>
        <v>0</v>
      </c>
      <c r="H69" s="419">
        <f>SUMIFS(SX!Y$2:Y$19,SX!$B$2:$B$19,'chia CN SX'!$C69)</f>
        <v>0</v>
      </c>
      <c r="I69" s="419">
        <f>SUMIFS(SX!Z$2:Z$19,SX!$B$2:$B$19,'chia CN SX'!$C69)</f>
        <v>0</v>
      </c>
      <c r="J69" s="419">
        <f>SUMIFS(SX!AA$2:AA$19,SX!$B$2:$B$19,'chia CN SX'!$C69)</f>
        <v>0</v>
      </c>
      <c r="K69" s="419">
        <f>SUMIFS(SX!AB$2:AB$19,SX!$B$2:$B$19,'chia CN SX'!$C69)</f>
        <v>0</v>
      </c>
      <c r="L69" s="419">
        <f>SUMIFS(SX!AC$2:AC$19,SX!$B$2:$B$19,'chia CN SX'!$C69)</f>
        <v>0</v>
      </c>
      <c r="M69" s="419">
        <f>SUMIFS(SX!AD$2:AD$19,SX!$B$2:$B$19,'chia CN SX'!$C69)</f>
        <v>0</v>
      </c>
      <c r="N69" s="419">
        <f>SUMIFS(SX!AE$2:AE$19,SX!$B$2:$B$19,'chia CN SX'!$C69)</f>
        <v>0</v>
      </c>
      <c r="O69" s="419">
        <f>SUMIFS(SX!AF$2:AF$19,SX!$B$2:$B$19,'chia CN SX'!$C69)</f>
        <v>0</v>
      </c>
      <c r="P69" s="419">
        <f>SUMIFS(SX!AG$2:AG$19,SX!$B$2:$B$19,'chia CN SX'!$C69)</f>
        <v>0</v>
      </c>
      <c r="Q69" s="419">
        <f>SUMIFS(SX!AH$2:AH$19,SX!$B$2:$B$19,'chia CN SX'!$C69)</f>
        <v>0</v>
      </c>
      <c r="R69" s="419">
        <f>SUMIFS(SX!AI$2:AI$19,SX!$B$2:$B$19,'chia CN SX'!$C69)</f>
        <v>0</v>
      </c>
      <c r="S69" s="419">
        <f>SUMIFS(SX!AJ$2:AJ$19,SX!$B$2:$B$19,'chia CN SX'!$C69)</f>
        <v>0</v>
      </c>
      <c r="V69" s="80" t="e">
        <f>'chia CN boc xe'!U69</f>
        <v>#REF!</v>
      </c>
      <c r="W69" s="81">
        <f t="shared" si="50"/>
        <v>0</v>
      </c>
      <c r="X69" s="81">
        <f t="shared" si="34"/>
        <v>0</v>
      </c>
      <c r="Y69" s="81">
        <f t="shared" si="35"/>
        <v>0</v>
      </c>
      <c r="Z69" s="81">
        <f t="shared" si="36"/>
        <v>0</v>
      </c>
      <c r="AA69" s="81">
        <f t="shared" si="37"/>
        <v>0</v>
      </c>
      <c r="AB69" s="81">
        <f t="shared" si="38"/>
        <v>0</v>
      </c>
      <c r="AC69" s="81">
        <f t="shared" si="39"/>
        <v>0</v>
      </c>
      <c r="AD69" s="81">
        <f t="shared" si="40"/>
        <v>0</v>
      </c>
      <c r="AE69" s="81">
        <f t="shared" si="41"/>
        <v>0</v>
      </c>
      <c r="AF69" s="81">
        <f t="shared" si="42"/>
        <v>0</v>
      </c>
      <c r="AG69" s="81">
        <f t="shared" si="43"/>
        <v>0</v>
      </c>
      <c r="AH69" s="81">
        <f t="shared" si="44"/>
        <v>0</v>
      </c>
      <c r="AI69" s="81">
        <f t="shared" si="45"/>
        <v>0</v>
      </c>
      <c r="AJ69" s="81">
        <f t="shared" si="46"/>
        <v>0</v>
      </c>
      <c r="AK69" s="81">
        <f t="shared" si="47"/>
        <v>0</v>
      </c>
    </row>
    <row r="70" spans="1:37" x14ac:dyDescent="0.25">
      <c r="A70" s="421">
        <f t="shared" si="51"/>
        <v>68</v>
      </c>
      <c r="B70" s="331"/>
      <c r="C70" s="35"/>
      <c r="D70" s="419">
        <f>SUMIFS(SX!U$2:U$19,SX!$B$2:$B$19,'chia CN SX'!$C70)</f>
        <v>0</v>
      </c>
      <c r="E70" s="419">
        <f>SUMIFS(SX!V$2:V$19,SX!$B$2:$B$19,'chia CN SX'!$C70)</f>
        <v>0</v>
      </c>
      <c r="F70" s="419">
        <f>SUMIFS(SX!W$2:W$19,SX!$B$2:$B$19,'chia CN SX'!$C70)</f>
        <v>0</v>
      </c>
      <c r="G70" s="419">
        <f>SUMIFS(SX!X$2:X$19,SX!$B$2:$B$19,'chia CN SX'!$C70)</f>
        <v>0</v>
      </c>
      <c r="H70" s="419">
        <f>SUMIFS(SX!Y$2:Y$19,SX!$B$2:$B$19,'chia CN SX'!$C70)</f>
        <v>0</v>
      </c>
      <c r="I70" s="419">
        <f>SUMIFS(SX!Z$2:Z$19,SX!$B$2:$B$19,'chia CN SX'!$C70)</f>
        <v>0</v>
      </c>
      <c r="J70" s="419">
        <f>SUMIFS(SX!AA$2:AA$19,SX!$B$2:$B$19,'chia CN SX'!$C70)</f>
        <v>0</v>
      </c>
      <c r="K70" s="419">
        <f>SUMIFS(SX!AB$2:AB$19,SX!$B$2:$B$19,'chia CN SX'!$C70)</f>
        <v>0</v>
      </c>
      <c r="L70" s="419">
        <f>SUMIFS(SX!AC$2:AC$19,SX!$B$2:$B$19,'chia CN SX'!$C70)</f>
        <v>0</v>
      </c>
      <c r="M70" s="419">
        <f>SUMIFS(SX!AD$2:AD$19,SX!$B$2:$B$19,'chia CN SX'!$C70)</f>
        <v>0</v>
      </c>
      <c r="N70" s="419">
        <f>SUMIFS(SX!AE$2:AE$19,SX!$B$2:$B$19,'chia CN SX'!$C70)</f>
        <v>0</v>
      </c>
      <c r="O70" s="419">
        <f>SUMIFS(SX!AF$2:AF$19,SX!$B$2:$B$19,'chia CN SX'!$C70)</f>
        <v>0</v>
      </c>
      <c r="P70" s="419">
        <f>SUMIFS(SX!AG$2:AG$19,SX!$B$2:$B$19,'chia CN SX'!$C70)</f>
        <v>0</v>
      </c>
      <c r="Q70" s="419">
        <f>SUMIFS(SX!AH$2:AH$19,SX!$B$2:$B$19,'chia CN SX'!$C70)</f>
        <v>0</v>
      </c>
      <c r="R70" s="419">
        <f>SUMIFS(SX!AI$2:AI$19,SX!$B$2:$B$19,'chia CN SX'!$C70)</f>
        <v>0</v>
      </c>
      <c r="S70" s="419">
        <f>SUMIFS(SX!AJ$2:AJ$19,SX!$B$2:$B$19,'chia CN SX'!$C70)</f>
        <v>0</v>
      </c>
      <c r="V70" s="80" t="e">
        <f>'chia CN boc xe'!U70</f>
        <v>#REF!</v>
      </c>
      <c r="W70" s="81">
        <f t="shared" si="50"/>
        <v>0</v>
      </c>
      <c r="X70" s="81">
        <f t="shared" si="34"/>
        <v>0</v>
      </c>
      <c r="Y70" s="81">
        <f t="shared" si="35"/>
        <v>0</v>
      </c>
      <c r="Z70" s="81">
        <f t="shared" si="36"/>
        <v>0</v>
      </c>
      <c r="AA70" s="81">
        <f t="shared" si="37"/>
        <v>0</v>
      </c>
      <c r="AB70" s="81">
        <f t="shared" si="38"/>
        <v>0</v>
      </c>
      <c r="AC70" s="81">
        <f t="shared" si="39"/>
        <v>0</v>
      </c>
      <c r="AD70" s="81">
        <f t="shared" si="40"/>
        <v>0</v>
      </c>
      <c r="AE70" s="81">
        <f t="shared" si="41"/>
        <v>0</v>
      </c>
      <c r="AF70" s="81">
        <f t="shared" si="42"/>
        <v>0</v>
      </c>
      <c r="AG70" s="81">
        <f t="shared" si="43"/>
        <v>0</v>
      </c>
      <c r="AH70" s="81">
        <f t="shared" si="44"/>
        <v>0</v>
      </c>
      <c r="AI70" s="81">
        <f t="shared" si="45"/>
        <v>0</v>
      </c>
      <c r="AJ70" s="81">
        <f t="shared" si="46"/>
        <v>0</v>
      </c>
      <c r="AK70" s="81">
        <f t="shared" si="47"/>
        <v>0</v>
      </c>
    </row>
    <row r="71" spans="1:37" x14ac:dyDescent="0.25">
      <c r="A71" s="421">
        <f t="shared" si="51"/>
        <v>69</v>
      </c>
      <c r="B71" s="331"/>
      <c r="C71" s="35"/>
      <c r="D71" s="419">
        <f>SUMIFS(SX!U$2:U$19,SX!$B$2:$B$19,'chia CN SX'!$C71)</f>
        <v>0</v>
      </c>
      <c r="E71" s="419">
        <f>SUMIFS(SX!V$2:V$19,SX!$B$2:$B$19,'chia CN SX'!$C71)</f>
        <v>0</v>
      </c>
      <c r="F71" s="419">
        <f>SUMIFS(SX!W$2:W$19,SX!$B$2:$B$19,'chia CN SX'!$C71)</f>
        <v>0</v>
      </c>
      <c r="G71" s="419">
        <f>SUMIFS(SX!X$2:X$19,SX!$B$2:$B$19,'chia CN SX'!$C71)</f>
        <v>0</v>
      </c>
      <c r="H71" s="419">
        <f>SUMIFS(SX!Y$2:Y$19,SX!$B$2:$B$19,'chia CN SX'!$C71)</f>
        <v>0</v>
      </c>
      <c r="I71" s="419">
        <f>SUMIFS(SX!Z$2:Z$19,SX!$B$2:$B$19,'chia CN SX'!$C71)</f>
        <v>0</v>
      </c>
      <c r="J71" s="419">
        <f>SUMIFS(SX!AA$2:AA$19,SX!$B$2:$B$19,'chia CN SX'!$C71)</f>
        <v>0</v>
      </c>
      <c r="K71" s="419">
        <f>SUMIFS(SX!AB$2:AB$19,SX!$B$2:$B$19,'chia CN SX'!$C71)</f>
        <v>0</v>
      </c>
      <c r="L71" s="419">
        <f>SUMIFS(SX!AC$2:AC$19,SX!$B$2:$B$19,'chia CN SX'!$C71)</f>
        <v>0</v>
      </c>
      <c r="M71" s="419">
        <f>SUMIFS(SX!AD$2:AD$19,SX!$B$2:$B$19,'chia CN SX'!$C71)</f>
        <v>0</v>
      </c>
      <c r="N71" s="419">
        <f>SUMIFS(SX!AE$2:AE$19,SX!$B$2:$B$19,'chia CN SX'!$C71)</f>
        <v>0</v>
      </c>
      <c r="O71" s="419">
        <f>SUMIFS(SX!AF$2:AF$19,SX!$B$2:$B$19,'chia CN SX'!$C71)</f>
        <v>0</v>
      </c>
      <c r="P71" s="419">
        <f>SUMIFS(SX!AG$2:AG$19,SX!$B$2:$B$19,'chia CN SX'!$C71)</f>
        <v>0</v>
      </c>
      <c r="Q71" s="419">
        <f>SUMIFS(SX!AH$2:AH$19,SX!$B$2:$B$19,'chia CN SX'!$C71)</f>
        <v>0</v>
      </c>
      <c r="R71" s="419">
        <f>SUMIFS(SX!AI$2:AI$19,SX!$B$2:$B$19,'chia CN SX'!$C71)</f>
        <v>0</v>
      </c>
      <c r="S71" s="419">
        <f>SUMIFS(SX!AJ$2:AJ$19,SX!$B$2:$B$19,'chia CN SX'!$C71)</f>
        <v>0</v>
      </c>
      <c r="V71" s="80" t="e">
        <f>'chia CN boc xe'!U71</f>
        <v>#REF!</v>
      </c>
      <c r="W71" s="81">
        <f t="shared" si="50"/>
        <v>0</v>
      </c>
      <c r="X71" s="81">
        <f t="shared" si="34"/>
        <v>0</v>
      </c>
      <c r="Y71" s="81">
        <f t="shared" si="35"/>
        <v>0</v>
      </c>
      <c r="Z71" s="81">
        <f t="shared" si="36"/>
        <v>0</v>
      </c>
      <c r="AA71" s="81">
        <f t="shared" si="37"/>
        <v>0</v>
      </c>
      <c r="AB71" s="81">
        <f t="shared" si="38"/>
        <v>0</v>
      </c>
      <c r="AC71" s="81">
        <f t="shared" si="39"/>
        <v>0</v>
      </c>
      <c r="AD71" s="81">
        <f t="shared" si="40"/>
        <v>0</v>
      </c>
      <c r="AE71" s="81">
        <f t="shared" si="41"/>
        <v>0</v>
      </c>
      <c r="AF71" s="81">
        <f t="shared" si="42"/>
        <v>0</v>
      </c>
      <c r="AG71" s="81">
        <f t="shared" si="43"/>
        <v>0</v>
      </c>
      <c r="AH71" s="81">
        <f t="shared" si="44"/>
        <v>0</v>
      </c>
      <c r="AI71" s="81">
        <f t="shared" si="45"/>
        <v>0</v>
      </c>
      <c r="AJ71" s="81">
        <f t="shared" si="46"/>
        <v>0</v>
      </c>
      <c r="AK71" s="81">
        <f t="shared" si="47"/>
        <v>0</v>
      </c>
    </row>
    <row r="72" spans="1:37" x14ac:dyDescent="0.25">
      <c r="A72" s="421">
        <f t="shared" si="51"/>
        <v>70</v>
      </c>
      <c r="B72" s="331"/>
      <c r="C72" s="35"/>
      <c r="D72" s="419">
        <f>SUMIFS(SX!U$2:U$19,SX!$B$2:$B$19,'chia CN SX'!$C72)</f>
        <v>0</v>
      </c>
      <c r="E72" s="419">
        <f>SUMIFS(SX!V$2:V$19,SX!$B$2:$B$19,'chia CN SX'!$C72)</f>
        <v>0</v>
      </c>
      <c r="F72" s="419">
        <f>SUMIFS(SX!W$2:W$19,SX!$B$2:$B$19,'chia CN SX'!$C72)</f>
        <v>0</v>
      </c>
      <c r="G72" s="419">
        <f>SUMIFS(SX!X$2:X$19,SX!$B$2:$B$19,'chia CN SX'!$C72)</f>
        <v>0</v>
      </c>
      <c r="H72" s="419">
        <f>SUMIFS(SX!Y$2:Y$19,SX!$B$2:$B$19,'chia CN SX'!$C72)</f>
        <v>0</v>
      </c>
      <c r="I72" s="419">
        <f>SUMIFS(SX!Z$2:Z$19,SX!$B$2:$B$19,'chia CN SX'!$C72)</f>
        <v>0</v>
      </c>
      <c r="J72" s="419">
        <f>SUMIFS(SX!AA$2:AA$19,SX!$B$2:$B$19,'chia CN SX'!$C72)</f>
        <v>0</v>
      </c>
      <c r="K72" s="419">
        <f>SUMIFS(SX!AB$2:AB$19,SX!$B$2:$B$19,'chia CN SX'!$C72)</f>
        <v>0</v>
      </c>
      <c r="L72" s="419">
        <f>SUMIFS(SX!AC$2:AC$19,SX!$B$2:$B$19,'chia CN SX'!$C72)</f>
        <v>0</v>
      </c>
      <c r="M72" s="419">
        <f>SUMIFS(SX!AD$2:AD$19,SX!$B$2:$B$19,'chia CN SX'!$C72)</f>
        <v>0</v>
      </c>
      <c r="N72" s="419">
        <f>SUMIFS(SX!AE$2:AE$19,SX!$B$2:$B$19,'chia CN SX'!$C72)</f>
        <v>0</v>
      </c>
      <c r="O72" s="419">
        <f>SUMIFS(SX!AF$2:AF$19,SX!$B$2:$B$19,'chia CN SX'!$C72)</f>
        <v>0</v>
      </c>
      <c r="P72" s="419">
        <f>SUMIFS(SX!AG$2:AG$19,SX!$B$2:$B$19,'chia CN SX'!$C72)</f>
        <v>0</v>
      </c>
      <c r="Q72" s="419">
        <f>SUMIFS(SX!AH$2:AH$19,SX!$B$2:$B$19,'chia CN SX'!$C72)</f>
        <v>0</v>
      </c>
      <c r="R72" s="419">
        <f>SUMIFS(SX!AI$2:AI$19,SX!$B$2:$B$19,'chia CN SX'!$C72)</f>
        <v>0</v>
      </c>
      <c r="S72" s="419">
        <f>SUMIFS(SX!AJ$2:AJ$19,SX!$B$2:$B$19,'chia CN SX'!$C72)</f>
        <v>0</v>
      </c>
      <c r="V72" s="80" t="str">
        <f>'chia CN boc xe'!U72</f>
        <v>Hà Thanh Truyền</v>
      </c>
      <c r="W72" s="81">
        <f t="shared" si="50"/>
        <v>0</v>
      </c>
      <c r="X72" s="81">
        <f t="shared" si="34"/>
        <v>0</v>
      </c>
      <c r="Y72" s="81">
        <f t="shared" si="35"/>
        <v>0</v>
      </c>
      <c r="Z72" s="81">
        <f t="shared" si="36"/>
        <v>0</v>
      </c>
      <c r="AA72" s="81">
        <f t="shared" si="37"/>
        <v>0</v>
      </c>
      <c r="AB72" s="81">
        <f t="shared" si="38"/>
        <v>0</v>
      </c>
      <c r="AC72" s="81">
        <f t="shared" si="39"/>
        <v>0</v>
      </c>
      <c r="AD72" s="81">
        <f t="shared" si="40"/>
        <v>0</v>
      </c>
      <c r="AE72" s="81">
        <f t="shared" si="41"/>
        <v>0</v>
      </c>
      <c r="AF72" s="81">
        <f t="shared" si="42"/>
        <v>0</v>
      </c>
      <c r="AG72" s="81">
        <f t="shared" si="43"/>
        <v>0</v>
      </c>
      <c r="AH72" s="81">
        <f t="shared" si="44"/>
        <v>0</v>
      </c>
      <c r="AI72" s="81">
        <f t="shared" si="45"/>
        <v>0</v>
      </c>
      <c r="AJ72" s="81">
        <f t="shared" si="46"/>
        <v>0</v>
      </c>
      <c r="AK72" s="81">
        <f t="shared" si="47"/>
        <v>0</v>
      </c>
    </row>
    <row r="73" spans="1:37" x14ac:dyDescent="0.25">
      <c r="A73" s="421">
        <f t="shared" si="51"/>
        <v>71</v>
      </c>
      <c r="B73" s="331"/>
      <c r="C73" s="35"/>
      <c r="D73" s="419">
        <f>SUMIFS(SX!U$2:U$19,SX!$B$2:$B$19,'chia CN SX'!$C73)</f>
        <v>0</v>
      </c>
      <c r="E73" s="419">
        <f>SUMIFS(SX!V$2:V$19,SX!$B$2:$B$19,'chia CN SX'!$C73)</f>
        <v>0</v>
      </c>
      <c r="F73" s="419">
        <f>SUMIFS(SX!W$2:W$19,SX!$B$2:$B$19,'chia CN SX'!$C73)</f>
        <v>0</v>
      </c>
      <c r="G73" s="419">
        <f>SUMIFS(SX!X$2:X$19,SX!$B$2:$B$19,'chia CN SX'!$C73)</f>
        <v>0</v>
      </c>
      <c r="H73" s="419">
        <f>SUMIFS(SX!Y$2:Y$19,SX!$B$2:$B$19,'chia CN SX'!$C73)</f>
        <v>0</v>
      </c>
      <c r="I73" s="419">
        <f>SUMIFS(SX!Z$2:Z$19,SX!$B$2:$B$19,'chia CN SX'!$C73)</f>
        <v>0</v>
      </c>
      <c r="J73" s="419">
        <f>SUMIFS(SX!AA$2:AA$19,SX!$B$2:$B$19,'chia CN SX'!$C73)</f>
        <v>0</v>
      </c>
      <c r="K73" s="419">
        <f>SUMIFS(SX!AB$2:AB$19,SX!$B$2:$B$19,'chia CN SX'!$C73)</f>
        <v>0</v>
      </c>
      <c r="L73" s="419">
        <f>SUMIFS(SX!AC$2:AC$19,SX!$B$2:$B$19,'chia CN SX'!$C73)</f>
        <v>0</v>
      </c>
      <c r="M73" s="419">
        <f>SUMIFS(SX!AD$2:AD$19,SX!$B$2:$B$19,'chia CN SX'!$C73)</f>
        <v>0</v>
      </c>
      <c r="N73" s="419">
        <f>SUMIFS(SX!AE$2:AE$19,SX!$B$2:$B$19,'chia CN SX'!$C73)</f>
        <v>0</v>
      </c>
      <c r="O73" s="419">
        <f>SUMIFS(SX!AF$2:AF$19,SX!$B$2:$B$19,'chia CN SX'!$C73)</f>
        <v>0</v>
      </c>
      <c r="P73" s="419">
        <f>SUMIFS(SX!AG$2:AG$19,SX!$B$2:$B$19,'chia CN SX'!$C73)</f>
        <v>0</v>
      </c>
      <c r="Q73" s="419">
        <f>SUMIFS(SX!AH$2:AH$19,SX!$B$2:$B$19,'chia CN SX'!$C73)</f>
        <v>0</v>
      </c>
      <c r="R73" s="419">
        <f>SUMIFS(SX!AI$2:AI$19,SX!$B$2:$B$19,'chia CN SX'!$C73)</f>
        <v>0</v>
      </c>
      <c r="S73" s="419">
        <f>SUMIFS(SX!AJ$2:AJ$19,SX!$B$2:$B$19,'chia CN SX'!$C73)</f>
        <v>0</v>
      </c>
    </row>
    <row r="74" spans="1:37" x14ac:dyDescent="0.25">
      <c r="A74" s="421">
        <f t="shared" si="51"/>
        <v>72</v>
      </c>
      <c r="B74" s="331"/>
      <c r="C74" s="35"/>
      <c r="D74" s="419">
        <f>SUMIFS(SX!U$2:U$19,SX!$B$2:$B$19,'chia CN SX'!$C74)</f>
        <v>0</v>
      </c>
      <c r="E74" s="419">
        <f>SUMIFS(SX!V$2:V$19,SX!$B$2:$B$19,'chia CN SX'!$C74)</f>
        <v>0</v>
      </c>
      <c r="F74" s="419">
        <f>SUMIFS(SX!W$2:W$19,SX!$B$2:$B$19,'chia CN SX'!$C74)</f>
        <v>0</v>
      </c>
      <c r="G74" s="419">
        <f>SUMIFS(SX!X$2:X$19,SX!$B$2:$B$19,'chia CN SX'!$C74)</f>
        <v>0</v>
      </c>
      <c r="H74" s="419">
        <f>SUMIFS(SX!Y$2:Y$19,SX!$B$2:$B$19,'chia CN SX'!$C74)</f>
        <v>0</v>
      </c>
      <c r="I74" s="419">
        <f>SUMIFS(SX!Z$2:Z$19,SX!$B$2:$B$19,'chia CN SX'!$C74)</f>
        <v>0</v>
      </c>
      <c r="J74" s="419">
        <f>SUMIFS(SX!AA$2:AA$19,SX!$B$2:$B$19,'chia CN SX'!$C74)</f>
        <v>0</v>
      </c>
      <c r="K74" s="419">
        <f>SUMIFS(SX!AB$2:AB$19,SX!$B$2:$B$19,'chia CN SX'!$C74)</f>
        <v>0</v>
      </c>
      <c r="L74" s="419">
        <f>SUMIFS(SX!AC$2:AC$19,SX!$B$2:$B$19,'chia CN SX'!$C74)</f>
        <v>0</v>
      </c>
      <c r="M74" s="419">
        <f>SUMIFS(SX!AD$2:AD$19,SX!$B$2:$B$19,'chia CN SX'!$C74)</f>
        <v>0</v>
      </c>
      <c r="N74" s="419">
        <f>SUMIFS(SX!AE$2:AE$19,SX!$B$2:$B$19,'chia CN SX'!$C74)</f>
        <v>0</v>
      </c>
      <c r="O74" s="419">
        <f>SUMIFS(SX!AF$2:AF$19,SX!$B$2:$B$19,'chia CN SX'!$C74)</f>
        <v>0</v>
      </c>
      <c r="P74" s="419">
        <f>SUMIFS(SX!AG$2:AG$19,SX!$B$2:$B$19,'chia CN SX'!$C74)</f>
        <v>0</v>
      </c>
      <c r="Q74" s="419">
        <f>SUMIFS(SX!AH$2:AH$19,SX!$B$2:$B$19,'chia CN SX'!$C74)</f>
        <v>0</v>
      </c>
      <c r="R74" s="419">
        <f>SUMIFS(SX!AI$2:AI$19,SX!$B$2:$B$19,'chia CN SX'!$C74)</f>
        <v>0</v>
      </c>
      <c r="S74" s="419">
        <f>SUMIFS(SX!AJ$2:AJ$19,SX!$B$2:$B$19,'chia CN SX'!$C74)</f>
        <v>0</v>
      </c>
    </row>
    <row r="75" spans="1:37" x14ac:dyDescent="0.25">
      <c r="A75" s="421">
        <f t="shared" si="51"/>
        <v>73</v>
      </c>
      <c r="B75" s="331"/>
      <c r="C75" s="35"/>
      <c r="D75" s="419">
        <f>SUMIFS(SX!U$2:U$19,SX!$B$2:$B$19,'chia CN SX'!$C75)</f>
        <v>0</v>
      </c>
      <c r="E75" s="419">
        <f>SUMIFS(SX!V$2:V$19,SX!$B$2:$B$19,'chia CN SX'!$C75)</f>
        <v>0</v>
      </c>
      <c r="F75" s="419">
        <f>SUMIFS(SX!W$2:W$19,SX!$B$2:$B$19,'chia CN SX'!$C75)</f>
        <v>0</v>
      </c>
      <c r="G75" s="419">
        <f>SUMIFS(SX!X$2:X$19,SX!$B$2:$B$19,'chia CN SX'!$C75)</f>
        <v>0</v>
      </c>
      <c r="H75" s="419">
        <f>SUMIFS(SX!Y$2:Y$19,SX!$B$2:$B$19,'chia CN SX'!$C75)</f>
        <v>0</v>
      </c>
      <c r="I75" s="419">
        <f>SUMIFS(SX!Z$2:Z$19,SX!$B$2:$B$19,'chia CN SX'!$C75)</f>
        <v>0</v>
      </c>
      <c r="J75" s="419">
        <f>SUMIFS(SX!AA$2:AA$19,SX!$B$2:$B$19,'chia CN SX'!$C75)</f>
        <v>0</v>
      </c>
      <c r="K75" s="419">
        <f>SUMIFS(SX!AB$2:AB$19,SX!$B$2:$B$19,'chia CN SX'!$C75)</f>
        <v>0</v>
      </c>
      <c r="L75" s="419">
        <f>SUMIFS(SX!AC$2:AC$19,SX!$B$2:$B$19,'chia CN SX'!$C75)</f>
        <v>0</v>
      </c>
      <c r="M75" s="419">
        <f>SUMIFS(SX!AD$2:AD$19,SX!$B$2:$B$19,'chia CN SX'!$C75)</f>
        <v>0</v>
      </c>
      <c r="N75" s="419">
        <f>SUMIFS(SX!AE$2:AE$19,SX!$B$2:$B$19,'chia CN SX'!$C75)</f>
        <v>0</v>
      </c>
      <c r="O75" s="419">
        <f>SUMIFS(SX!AF$2:AF$19,SX!$B$2:$B$19,'chia CN SX'!$C75)</f>
        <v>0</v>
      </c>
      <c r="P75" s="419">
        <f>SUMIFS(SX!AG$2:AG$19,SX!$B$2:$B$19,'chia CN SX'!$C75)</f>
        <v>0</v>
      </c>
      <c r="Q75" s="419">
        <f>SUMIFS(SX!AH$2:AH$19,SX!$B$2:$B$19,'chia CN SX'!$C75)</f>
        <v>0</v>
      </c>
      <c r="R75" s="419">
        <f>SUMIFS(SX!AI$2:AI$19,SX!$B$2:$B$19,'chia CN SX'!$C75)</f>
        <v>0</v>
      </c>
      <c r="S75" s="419">
        <f>SUMIFS(SX!AJ$2:AJ$19,SX!$B$2:$B$19,'chia CN SX'!$C75)</f>
        <v>0</v>
      </c>
    </row>
    <row r="76" spans="1:37" x14ac:dyDescent="0.25">
      <c r="A76" s="421">
        <f t="shared" si="51"/>
        <v>74</v>
      </c>
      <c r="B76" s="331"/>
      <c r="C76" s="35"/>
      <c r="D76" s="419">
        <f>SUMIFS(SX!U$2:U$19,SX!$B$2:$B$19,'chia CN SX'!$C76)</f>
        <v>0</v>
      </c>
      <c r="E76" s="419">
        <f>SUMIFS(SX!V$2:V$19,SX!$B$2:$B$19,'chia CN SX'!$C76)</f>
        <v>0</v>
      </c>
      <c r="F76" s="419">
        <f>SUMIFS(SX!W$2:W$19,SX!$B$2:$B$19,'chia CN SX'!$C76)</f>
        <v>0</v>
      </c>
      <c r="G76" s="419">
        <f>SUMIFS(SX!X$2:X$19,SX!$B$2:$B$19,'chia CN SX'!$C76)</f>
        <v>0</v>
      </c>
      <c r="H76" s="419">
        <f>SUMIFS(SX!Y$2:Y$19,SX!$B$2:$B$19,'chia CN SX'!$C76)</f>
        <v>0</v>
      </c>
      <c r="I76" s="419">
        <f>SUMIFS(SX!Z$2:Z$19,SX!$B$2:$B$19,'chia CN SX'!$C76)</f>
        <v>0</v>
      </c>
      <c r="J76" s="419">
        <f>SUMIFS(SX!AA$2:AA$19,SX!$B$2:$B$19,'chia CN SX'!$C76)</f>
        <v>0</v>
      </c>
      <c r="K76" s="419">
        <f>SUMIFS(SX!AB$2:AB$19,SX!$B$2:$B$19,'chia CN SX'!$C76)</f>
        <v>0</v>
      </c>
      <c r="L76" s="419">
        <f>SUMIFS(SX!AC$2:AC$19,SX!$B$2:$B$19,'chia CN SX'!$C76)</f>
        <v>0</v>
      </c>
      <c r="M76" s="419">
        <f>SUMIFS(SX!AD$2:AD$19,SX!$B$2:$B$19,'chia CN SX'!$C76)</f>
        <v>0</v>
      </c>
      <c r="N76" s="419">
        <f>SUMIFS(SX!AE$2:AE$19,SX!$B$2:$B$19,'chia CN SX'!$C76)</f>
        <v>0</v>
      </c>
      <c r="O76" s="419">
        <f>SUMIFS(SX!AF$2:AF$19,SX!$B$2:$B$19,'chia CN SX'!$C76)</f>
        <v>0</v>
      </c>
      <c r="P76" s="419">
        <f>SUMIFS(SX!AG$2:AG$19,SX!$B$2:$B$19,'chia CN SX'!$C76)</f>
        <v>0</v>
      </c>
      <c r="Q76" s="419">
        <f>SUMIFS(SX!AH$2:AH$19,SX!$B$2:$B$19,'chia CN SX'!$C76)</f>
        <v>0</v>
      </c>
      <c r="R76" s="419">
        <f>SUMIFS(SX!AI$2:AI$19,SX!$B$2:$B$19,'chia CN SX'!$C76)</f>
        <v>0</v>
      </c>
      <c r="S76" s="419">
        <f>SUMIFS(SX!AJ$2:AJ$19,SX!$B$2:$B$19,'chia CN SX'!$C76)</f>
        <v>0</v>
      </c>
    </row>
    <row r="77" spans="1:37" x14ac:dyDescent="0.25">
      <c r="A77" s="421">
        <f t="shared" si="51"/>
        <v>75</v>
      </c>
      <c r="B77" s="331"/>
      <c r="C77" s="35"/>
      <c r="D77" s="419">
        <f>SUMIFS(SX!U$2:U$19,SX!$B$2:$B$19,'chia CN SX'!$C77)</f>
        <v>0</v>
      </c>
      <c r="E77" s="419">
        <f>SUMIFS(SX!V$2:V$19,SX!$B$2:$B$19,'chia CN SX'!$C77)</f>
        <v>0</v>
      </c>
      <c r="F77" s="419">
        <f>SUMIFS(SX!W$2:W$19,SX!$B$2:$B$19,'chia CN SX'!$C77)</f>
        <v>0</v>
      </c>
      <c r="G77" s="419">
        <f>SUMIFS(SX!X$2:X$19,SX!$B$2:$B$19,'chia CN SX'!$C77)</f>
        <v>0</v>
      </c>
      <c r="H77" s="419">
        <f>SUMIFS(SX!Y$2:Y$19,SX!$B$2:$B$19,'chia CN SX'!$C77)</f>
        <v>0</v>
      </c>
      <c r="I77" s="419">
        <f>SUMIFS(SX!Z$2:Z$19,SX!$B$2:$B$19,'chia CN SX'!$C77)</f>
        <v>0</v>
      </c>
      <c r="J77" s="419">
        <f>SUMIFS(SX!AA$2:AA$19,SX!$B$2:$B$19,'chia CN SX'!$C77)</f>
        <v>0</v>
      </c>
      <c r="K77" s="419">
        <f>SUMIFS(SX!AB$2:AB$19,SX!$B$2:$B$19,'chia CN SX'!$C77)</f>
        <v>0</v>
      </c>
      <c r="L77" s="419">
        <f>SUMIFS(SX!AC$2:AC$19,SX!$B$2:$B$19,'chia CN SX'!$C77)</f>
        <v>0</v>
      </c>
      <c r="M77" s="419">
        <f>SUMIFS(SX!AD$2:AD$19,SX!$B$2:$B$19,'chia CN SX'!$C77)</f>
        <v>0</v>
      </c>
      <c r="N77" s="419">
        <f>SUMIFS(SX!AE$2:AE$19,SX!$B$2:$B$19,'chia CN SX'!$C77)</f>
        <v>0</v>
      </c>
      <c r="O77" s="419">
        <f>SUMIFS(SX!AF$2:AF$19,SX!$B$2:$B$19,'chia CN SX'!$C77)</f>
        <v>0</v>
      </c>
      <c r="P77" s="419">
        <f>SUMIFS(SX!AG$2:AG$19,SX!$B$2:$B$19,'chia CN SX'!$C77)</f>
        <v>0</v>
      </c>
      <c r="Q77" s="419">
        <f>SUMIFS(SX!AH$2:AH$19,SX!$B$2:$B$19,'chia CN SX'!$C77)</f>
        <v>0</v>
      </c>
      <c r="R77" s="419">
        <f>SUMIFS(SX!AI$2:AI$19,SX!$B$2:$B$19,'chia CN SX'!$C77)</f>
        <v>0</v>
      </c>
      <c r="S77" s="419">
        <f>SUMIFS(SX!AJ$2:AJ$19,SX!$B$2:$B$19,'chia CN SX'!$C77)</f>
        <v>0</v>
      </c>
    </row>
    <row r="78" spans="1:37" x14ac:dyDescent="0.25">
      <c r="A78" s="421">
        <f t="shared" si="51"/>
        <v>76</v>
      </c>
      <c r="B78" s="331"/>
      <c r="C78" s="35"/>
      <c r="D78" s="419">
        <f>SUMIFS(SX!U$2:U$19,SX!$B$2:$B$19,'chia CN SX'!$C78)</f>
        <v>0</v>
      </c>
      <c r="E78" s="419">
        <f>SUMIFS(SX!V$2:V$19,SX!$B$2:$B$19,'chia CN SX'!$C78)</f>
        <v>0</v>
      </c>
      <c r="F78" s="419">
        <f>SUMIFS(SX!W$2:W$19,SX!$B$2:$B$19,'chia CN SX'!$C78)</f>
        <v>0</v>
      </c>
      <c r="G78" s="419">
        <f>SUMIFS(SX!X$2:X$19,SX!$B$2:$B$19,'chia CN SX'!$C78)</f>
        <v>0</v>
      </c>
      <c r="H78" s="419">
        <f>SUMIFS(SX!Y$2:Y$19,SX!$B$2:$B$19,'chia CN SX'!$C78)</f>
        <v>0</v>
      </c>
      <c r="I78" s="419">
        <f>SUMIFS(SX!Z$2:Z$19,SX!$B$2:$B$19,'chia CN SX'!$C78)</f>
        <v>0</v>
      </c>
      <c r="J78" s="419">
        <f>SUMIFS(SX!AA$2:AA$19,SX!$B$2:$B$19,'chia CN SX'!$C78)</f>
        <v>0</v>
      </c>
      <c r="K78" s="419">
        <f>SUMIFS(SX!AB$2:AB$19,SX!$B$2:$B$19,'chia CN SX'!$C78)</f>
        <v>0</v>
      </c>
      <c r="L78" s="419">
        <f>SUMIFS(SX!AC$2:AC$19,SX!$B$2:$B$19,'chia CN SX'!$C78)</f>
        <v>0</v>
      </c>
      <c r="M78" s="419">
        <f>SUMIFS(SX!AD$2:AD$19,SX!$B$2:$B$19,'chia CN SX'!$C78)</f>
        <v>0</v>
      </c>
      <c r="N78" s="419">
        <f>SUMIFS(SX!AE$2:AE$19,SX!$B$2:$B$19,'chia CN SX'!$C78)</f>
        <v>0</v>
      </c>
      <c r="O78" s="419">
        <f>SUMIFS(SX!AF$2:AF$19,SX!$B$2:$B$19,'chia CN SX'!$C78)</f>
        <v>0</v>
      </c>
      <c r="P78" s="419">
        <f>SUMIFS(SX!AG$2:AG$19,SX!$B$2:$B$19,'chia CN SX'!$C78)</f>
        <v>0</v>
      </c>
      <c r="Q78" s="419">
        <f>SUMIFS(SX!AH$2:AH$19,SX!$B$2:$B$19,'chia CN SX'!$C78)</f>
        <v>0</v>
      </c>
      <c r="R78" s="419">
        <f>SUMIFS(SX!AI$2:AI$19,SX!$B$2:$B$19,'chia CN SX'!$C78)</f>
        <v>0</v>
      </c>
      <c r="S78" s="419">
        <f>SUMIFS(SX!AJ$2:AJ$19,SX!$B$2:$B$19,'chia CN SX'!$C78)</f>
        <v>0</v>
      </c>
    </row>
    <row r="79" spans="1:37" x14ac:dyDescent="0.25">
      <c r="A79" s="421">
        <f t="shared" si="51"/>
        <v>77</v>
      </c>
      <c r="B79" s="331"/>
      <c r="C79" s="35"/>
      <c r="D79" s="419">
        <f>SUMIFS(SX!U$2:U$19,SX!$B$2:$B$19,'chia CN SX'!$C79)</f>
        <v>0</v>
      </c>
      <c r="E79" s="419">
        <f>SUMIFS(SX!V$2:V$19,SX!$B$2:$B$19,'chia CN SX'!$C79)</f>
        <v>0</v>
      </c>
      <c r="F79" s="419">
        <f>SUMIFS(SX!W$2:W$19,SX!$B$2:$B$19,'chia CN SX'!$C79)</f>
        <v>0</v>
      </c>
      <c r="G79" s="419">
        <f>SUMIFS(SX!X$2:X$19,SX!$B$2:$B$19,'chia CN SX'!$C79)</f>
        <v>0</v>
      </c>
      <c r="H79" s="419">
        <f>SUMIFS(SX!Y$2:Y$19,SX!$B$2:$B$19,'chia CN SX'!$C79)</f>
        <v>0</v>
      </c>
      <c r="I79" s="419">
        <f>SUMIFS(SX!Z$2:Z$19,SX!$B$2:$B$19,'chia CN SX'!$C79)</f>
        <v>0</v>
      </c>
      <c r="J79" s="419">
        <f>SUMIFS(SX!AA$2:AA$19,SX!$B$2:$B$19,'chia CN SX'!$C79)</f>
        <v>0</v>
      </c>
      <c r="K79" s="419">
        <f>SUMIFS(SX!AB$2:AB$19,SX!$B$2:$B$19,'chia CN SX'!$C79)</f>
        <v>0</v>
      </c>
      <c r="L79" s="419">
        <f>SUMIFS(SX!AC$2:AC$19,SX!$B$2:$B$19,'chia CN SX'!$C79)</f>
        <v>0</v>
      </c>
      <c r="M79" s="419">
        <f>SUMIFS(SX!AD$2:AD$19,SX!$B$2:$B$19,'chia CN SX'!$C79)</f>
        <v>0</v>
      </c>
      <c r="N79" s="419">
        <f>SUMIFS(SX!AE$2:AE$19,SX!$B$2:$B$19,'chia CN SX'!$C79)</f>
        <v>0</v>
      </c>
      <c r="O79" s="419">
        <f>SUMIFS(SX!AF$2:AF$19,SX!$B$2:$B$19,'chia CN SX'!$C79)</f>
        <v>0</v>
      </c>
      <c r="P79" s="419">
        <f>SUMIFS(SX!AG$2:AG$19,SX!$B$2:$B$19,'chia CN SX'!$C79)</f>
        <v>0</v>
      </c>
      <c r="Q79" s="419">
        <f>SUMIFS(SX!AH$2:AH$19,SX!$B$2:$B$19,'chia CN SX'!$C79)</f>
        <v>0</v>
      </c>
      <c r="R79" s="419">
        <f>SUMIFS(SX!AI$2:AI$19,SX!$B$2:$B$19,'chia CN SX'!$C79)</f>
        <v>0</v>
      </c>
      <c r="S79" s="419">
        <f>SUMIFS(SX!AJ$2:AJ$19,SX!$B$2:$B$19,'chia CN SX'!$C79)</f>
        <v>0</v>
      </c>
    </row>
    <row r="80" spans="1:37" x14ac:dyDescent="0.25">
      <c r="A80" s="421">
        <f t="shared" si="51"/>
        <v>78</v>
      </c>
      <c r="B80" s="331"/>
      <c r="C80" s="35"/>
      <c r="D80" s="419">
        <f>SUMIFS(SX!U$2:U$19,SX!$B$2:$B$19,'chia CN SX'!$C80)</f>
        <v>0</v>
      </c>
      <c r="E80" s="419">
        <f>SUMIFS(SX!V$2:V$19,SX!$B$2:$B$19,'chia CN SX'!$C80)</f>
        <v>0</v>
      </c>
      <c r="F80" s="419">
        <f>SUMIFS(SX!W$2:W$19,SX!$B$2:$B$19,'chia CN SX'!$C80)</f>
        <v>0</v>
      </c>
      <c r="G80" s="419">
        <f>SUMIFS(SX!X$2:X$19,SX!$B$2:$B$19,'chia CN SX'!$C80)</f>
        <v>0</v>
      </c>
      <c r="H80" s="419">
        <f>SUMIFS(SX!Y$2:Y$19,SX!$B$2:$B$19,'chia CN SX'!$C80)</f>
        <v>0</v>
      </c>
      <c r="I80" s="419">
        <f>SUMIFS(SX!Z$2:Z$19,SX!$B$2:$B$19,'chia CN SX'!$C80)</f>
        <v>0</v>
      </c>
      <c r="J80" s="419">
        <f>SUMIFS(SX!AA$2:AA$19,SX!$B$2:$B$19,'chia CN SX'!$C80)</f>
        <v>0</v>
      </c>
      <c r="K80" s="419">
        <f>SUMIFS(SX!AB$2:AB$19,SX!$B$2:$B$19,'chia CN SX'!$C80)</f>
        <v>0</v>
      </c>
      <c r="L80" s="419">
        <f>SUMIFS(SX!AC$2:AC$19,SX!$B$2:$B$19,'chia CN SX'!$C80)</f>
        <v>0</v>
      </c>
      <c r="M80" s="419">
        <f>SUMIFS(SX!AD$2:AD$19,SX!$B$2:$B$19,'chia CN SX'!$C80)</f>
        <v>0</v>
      </c>
      <c r="N80" s="419">
        <f>SUMIFS(SX!AE$2:AE$19,SX!$B$2:$B$19,'chia CN SX'!$C80)</f>
        <v>0</v>
      </c>
      <c r="O80" s="419">
        <f>SUMIFS(SX!AF$2:AF$19,SX!$B$2:$B$19,'chia CN SX'!$C80)</f>
        <v>0</v>
      </c>
      <c r="P80" s="419">
        <f>SUMIFS(SX!AG$2:AG$19,SX!$B$2:$B$19,'chia CN SX'!$C80)</f>
        <v>0</v>
      </c>
      <c r="Q80" s="419">
        <f>SUMIFS(SX!AH$2:AH$19,SX!$B$2:$B$19,'chia CN SX'!$C80)</f>
        <v>0</v>
      </c>
      <c r="R80" s="419">
        <f>SUMIFS(SX!AI$2:AI$19,SX!$B$2:$B$19,'chia CN SX'!$C80)</f>
        <v>0</v>
      </c>
      <c r="S80" s="419">
        <f>SUMIFS(SX!AJ$2:AJ$19,SX!$B$2:$B$19,'chia CN SX'!$C80)</f>
        <v>0</v>
      </c>
    </row>
    <row r="81" spans="1:19" x14ac:dyDescent="0.25">
      <c r="A81" s="421">
        <f t="shared" si="51"/>
        <v>79</v>
      </c>
      <c r="B81" s="331"/>
      <c r="C81" s="35"/>
      <c r="D81" s="419">
        <f>SUMIFS(SX!U$2:U$19,SX!$B$2:$B$19,'chia CN SX'!$C81)</f>
        <v>0</v>
      </c>
      <c r="E81" s="419">
        <f>SUMIFS(SX!V$2:V$19,SX!$B$2:$B$19,'chia CN SX'!$C81)</f>
        <v>0</v>
      </c>
      <c r="F81" s="419">
        <f>SUMIFS(SX!W$2:W$19,SX!$B$2:$B$19,'chia CN SX'!$C81)</f>
        <v>0</v>
      </c>
      <c r="G81" s="419">
        <f>SUMIFS(SX!X$2:X$19,SX!$B$2:$B$19,'chia CN SX'!$C81)</f>
        <v>0</v>
      </c>
      <c r="H81" s="419">
        <f>SUMIFS(SX!Y$2:Y$19,SX!$B$2:$B$19,'chia CN SX'!$C81)</f>
        <v>0</v>
      </c>
      <c r="I81" s="419">
        <f>SUMIFS(SX!Z$2:Z$19,SX!$B$2:$B$19,'chia CN SX'!$C81)</f>
        <v>0</v>
      </c>
      <c r="J81" s="419">
        <f>SUMIFS(SX!AA$2:AA$19,SX!$B$2:$B$19,'chia CN SX'!$C81)</f>
        <v>0</v>
      </c>
      <c r="K81" s="419">
        <f>SUMIFS(SX!AB$2:AB$19,SX!$B$2:$B$19,'chia CN SX'!$C81)</f>
        <v>0</v>
      </c>
      <c r="L81" s="419">
        <f>SUMIFS(SX!AC$2:AC$19,SX!$B$2:$B$19,'chia CN SX'!$C81)</f>
        <v>0</v>
      </c>
      <c r="M81" s="419">
        <f>SUMIFS(SX!AD$2:AD$19,SX!$B$2:$B$19,'chia CN SX'!$C81)</f>
        <v>0</v>
      </c>
      <c r="N81" s="419">
        <f>SUMIFS(SX!AE$2:AE$19,SX!$B$2:$B$19,'chia CN SX'!$C81)</f>
        <v>0</v>
      </c>
      <c r="O81" s="419">
        <f>SUMIFS(SX!AF$2:AF$19,SX!$B$2:$B$19,'chia CN SX'!$C81)</f>
        <v>0</v>
      </c>
      <c r="P81" s="419">
        <f>SUMIFS(SX!AG$2:AG$19,SX!$B$2:$B$19,'chia CN SX'!$C81)</f>
        <v>0</v>
      </c>
      <c r="Q81" s="419">
        <f>SUMIFS(SX!AH$2:AH$19,SX!$B$2:$B$19,'chia CN SX'!$C81)</f>
        <v>0</v>
      </c>
      <c r="R81" s="419">
        <f>SUMIFS(SX!AI$2:AI$19,SX!$B$2:$B$19,'chia CN SX'!$C81)</f>
        <v>0</v>
      </c>
      <c r="S81" s="419">
        <f>SUMIFS(SX!AJ$2:AJ$19,SX!$B$2:$B$19,'chia CN SX'!$C81)</f>
        <v>0</v>
      </c>
    </row>
    <row r="82" spans="1:19" x14ac:dyDescent="0.25">
      <c r="A82" s="421">
        <f t="shared" si="51"/>
        <v>80</v>
      </c>
      <c r="B82" s="331"/>
      <c r="C82" s="35"/>
      <c r="D82" s="419">
        <f>SUMIFS(SX!U$2:U$19,SX!$B$2:$B$19,'chia CN SX'!$C82)</f>
        <v>0</v>
      </c>
      <c r="E82" s="419">
        <f>SUMIFS(SX!V$2:V$19,SX!$B$2:$B$19,'chia CN SX'!$C82)</f>
        <v>0</v>
      </c>
      <c r="F82" s="419">
        <f>SUMIFS(SX!W$2:W$19,SX!$B$2:$B$19,'chia CN SX'!$C82)</f>
        <v>0</v>
      </c>
      <c r="G82" s="419">
        <f>SUMIFS(SX!X$2:X$19,SX!$B$2:$B$19,'chia CN SX'!$C82)</f>
        <v>0</v>
      </c>
      <c r="H82" s="419">
        <f>SUMIFS(SX!Y$2:Y$19,SX!$B$2:$B$19,'chia CN SX'!$C82)</f>
        <v>0</v>
      </c>
      <c r="I82" s="419">
        <f>SUMIFS(SX!Z$2:Z$19,SX!$B$2:$B$19,'chia CN SX'!$C82)</f>
        <v>0</v>
      </c>
      <c r="J82" s="419">
        <f>SUMIFS(SX!AA$2:AA$19,SX!$B$2:$B$19,'chia CN SX'!$C82)</f>
        <v>0</v>
      </c>
      <c r="K82" s="419">
        <f>SUMIFS(SX!AB$2:AB$19,SX!$B$2:$B$19,'chia CN SX'!$C82)</f>
        <v>0</v>
      </c>
      <c r="L82" s="419">
        <f>SUMIFS(SX!AC$2:AC$19,SX!$B$2:$B$19,'chia CN SX'!$C82)</f>
        <v>0</v>
      </c>
      <c r="M82" s="419">
        <f>SUMIFS(SX!AD$2:AD$19,SX!$B$2:$B$19,'chia CN SX'!$C82)</f>
        <v>0</v>
      </c>
      <c r="N82" s="419">
        <f>SUMIFS(SX!AE$2:AE$19,SX!$B$2:$B$19,'chia CN SX'!$C82)</f>
        <v>0</v>
      </c>
      <c r="O82" s="419">
        <f>SUMIFS(SX!AF$2:AF$19,SX!$B$2:$B$19,'chia CN SX'!$C82)</f>
        <v>0</v>
      </c>
      <c r="P82" s="419">
        <f>SUMIFS(SX!AG$2:AG$19,SX!$B$2:$B$19,'chia CN SX'!$C82)</f>
        <v>0</v>
      </c>
      <c r="Q82" s="419">
        <f>SUMIFS(SX!AH$2:AH$19,SX!$B$2:$B$19,'chia CN SX'!$C82)</f>
        <v>0</v>
      </c>
      <c r="R82" s="419">
        <f>SUMIFS(SX!AI$2:AI$19,SX!$B$2:$B$19,'chia CN SX'!$C82)</f>
        <v>0</v>
      </c>
      <c r="S82" s="419">
        <f>SUMIFS(SX!AJ$2:AJ$19,SX!$B$2:$B$19,'chia CN SX'!$C82)</f>
        <v>0</v>
      </c>
    </row>
    <row r="83" spans="1:19" x14ac:dyDescent="0.25">
      <c r="A83" s="421">
        <f t="shared" si="51"/>
        <v>81</v>
      </c>
      <c r="B83" s="331"/>
      <c r="C83" s="35"/>
      <c r="D83" s="419">
        <f>SUMIFS(SX!U$2:U$19,SX!$B$2:$B$19,'chia CN SX'!$C83)</f>
        <v>0</v>
      </c>
      <c r="E83" s="419">
        <f>SUMIFS(SX!V$2:V$19,SX!$B$2:$B$19,'chia CN SX'!$C83)</f>
        <v>0</v>
      </c>
      <c r="F83" s="419">
        <f>SUMIFS(SX!W$2:W$19,SX!$B$2:$B$19,'chia CN SX'!$C83)</f>
        <v>0</v>
      </c>
      <c r="G83" s="419">
        <f>SUMIFS(SX!X$2:X$19,SX!$B$2:$B$19,'chia CN SX'!$C83)</f>
        <v>0</v>
      </c>
      <c r="H83" s="419">
        <f>SUMIFS(SX!Y$2:Y$19,SX!$B$2:$B$19,'chia CN SX'!$C83)</f>
        <v>0</v>
      </c>
      <c r="I83" s="419">
        <f>SUMIFS(SX!Z$2:Z$19,SX!$B$2:$B$19,'chia CN SX'!$C83)</f>
        <v>0</v>
      </c>
      <c r="J83" s="419">
        <f>SUMIFS(SX!AA$2:AA$19,SX!$B$2:$B$19,'chia CN SX'!$C83)</f>
        <v>0</v>
      </c>
      <c r="K83" s="419">
        <f>SUMIFS(SX!AB$2:AB$19,SX!$B$2:$B$19,'chia CN SX'!$C83)</f>
        <v>0</v>
      </c>
      <c r="L83" s="419">
        <f>SUMIFS(SX!AC$2:AC$19,SX!$B$2:$B$19,'chia CN SX'!$C83)</f>
        <v>0</v>
      </c>
      <c r="M83" s="419">
        <f>SUMIFS(SX!AD$2:AD$19,SX!$B$2:$B$19,'chia CN SX'!$C83)</f>
        <v>0</v>
      </c>
      <c r="N83" s="419">
        <f>SUMIFS(SX!AE$2:AE$19,SX!$B$2:$B$19,'chia CN SX'!$C83)</f>
        <v>0</v>
      </c>
      <c r="O83" s="419">
        <f>SUMIFS(SX!AF$2:AF$19,SX!$B$2:$B$19,'chia CN SX'!$C83)</f>
        <v>0</v>
      </c>
      <c r="P83" s="419">
        <f>SUMIFS(SX!AG$2:AG$19,SX!$B$2:$B$19,'chia CN SX'!$C83)</f>
        <v>0</v>
      </c>
      <c r="Q83" s="419">
        <f>SUMIFS(SX!AH$2:AH$19,SX!$B$2:$B$19,'chia CN SX'!$C83)</f>
        <v>0</v>
      </c>
      <c r="R83" s="419">
        <f>SUMIFS(SX!AI$2:AI$19,SX!$B$2:$B$19,'chia CN SX'!$C83)</f>
        <v>0</v>
      </c>
      <c r="S83" s="419">
        <f>SUMIFS(SX!AJ$2:AJ$19,SX!$B$2:$B$19,'chia CN SX'!$C83)</f>
        <v>0</v>
      </c>
    </row>
    <row r="84" spans="1:19" x14ac:dyDescent="0.25">
      <c r="A84" s="421">
        <f t="shared" si="51"/>
        <v>82</v>
      </c>
      <c r="B84" s="331"/>
      <c r="C84" s="35"/>
      <c r="D84" s="419">
        <f>SUMIFS(SX!U$2:U$19,SX!$B$2:$B$19,'chia CN SX'!$C84)</f>
        <v>0</v>
      </c>
      <c r="E84" s="419">
        <f>SUMIFS(SX!V$2:V$19,SX!$B$2:$B$19,'chia CN SX'!$C84)</f>
        <v>0</v>
      </c>
      <c r="F84" s="419">
        <f>SUMIFS(SX!W$2:W$19,SX!$B$2:$B$19,'chia CN SX'!$C84)</f>
        <v>0</v>
      </c>
      <c r="G84" s="419">
        <f>SUMIFS(SX!X$2:X$19,SX!$B$2:$B$19,'chia CN SX'!$C84)</f>
        <v>0</v>
      </c>
      <c r="H84" s="419">
        <f>SUMIFS(SX!Y$2:Y$19,SX!$B$2:$B$19,'chia CN SX'!$C84)</f>
        <v>0</v>
      </c>
      <c r="I84" s="419">
        <f>SUMIFS(SX!Z$2:Z$19,SX!$B$2:$B$19,'chia CN SX'!$C84)</f>
        <v>0</v>
      </c>
      <c r="J84" s="419">
        <f>SUMIFS(SX!AA$2:AA$19,SX!$B$2:$B$19,'chia CN SX'!$C84)</f>
        <v>0</v>
      </c>
      <c r="K84" s="419">
        <f>SUMIFS(SX!AB$2:AB$19,SX!$B$2:$B$19,'chia CN SX'!$C84)</f>
        <v>0</v>
      </c>
      <c r="L84" s="419">
        <f>SUMIFS(SX!AC$2:AC$19,SX!$B$2:$B$19,'chia CN SX'!$C84)</f>
        <v>0</v>
      </c>
      <c r="M84" s="419">
        <f>SUMIFS(SX!AD$2:AD$19,SX!$B$2:$B$19,'chia CN SX'!$C84)</f>
        <v>0</v>
      </c>
      <c r="N84" s="419">
        <f>SUMIFS(SX!AE$2:AE$19,SX!$B$2:$B$19,'chia CN SX'!$C84)</f>
        <v>0</v>
      </c>
      <c r="O84" s="419">
        <f>SUMIFS(SX!AF$2:AF$19,SX!$B$2:$B$19,'chia CN SX'!$C84)</f>
        <v>0</v>
      </c>
      <c r="P84" s="419">
        <f>SUMIFS(SX!AG$2:AG$19,SX!$B$2:$B$19,'chia CN SX'!$C84)</f>
        <v>0</v>
      </c>
      <c r="Q84" s="419">
        <f>SUMIFS(SX!AH$2:AH$19,SX!$B$2:$B$19,'chia CN SX'!$C84)</f>
        <v>0</v>
      </c>
      <c r="R84" s="419">
        <f>SUMIFS(SX!AI$2:AI$19,SX!$B$2:$B$19,'chia CN SX'!$C84)</f>
        <v>0</v>
      </c>
      <c r="S84" s="419">
        <f>SUMIFS(SX!AJ$2:AJ$19,SX!$B$2:$B$19,'chia CN SX'!$C84)</f>
        <v>0</v>
      </c>
    </row>
    <row r="85" spans="1:19" x14ac:dyDescent="0.25">
      <c r="A85" s="421">
        <f t="shared" si="51"/>
        <v>83</v>
      </c>
      <c r="B85" s="331"/>
      <c r="C85" s="35"/>
      <c r="D85" s="419">
        <f>SUMIFS(SX!U$2:U$19,SX!$B$2:$B$19,'chia CN SX'!$C85)</f>
        <v>0</v>
      </c>
      <c r="E85" s="419">
        <f>SUMIFS(SX!V$2:V$19,SX!$B$2:$B$19,'chia CN SX'!$C85)</f>
        <v>0</v>
      </c>
      <c r="F85" s="419">
        <f>SUMIFS(SX!W$2:W$19,SX!$B$2:$B$19,'chia CN SX'!$C85)</f>
        <v>0</v>
      </c>
      <c r="G85" s="419">
        <f>SUMIFS(SX!X$2:X$19,SX!$B$2:$B$19,'chia CN SX'!$C85)</f>
        <v>0</v>
      </c>
      <c r="H85" s="419">
        <f>SUMIFS(SX!Y$2:Y$19,SX!$B$2:$B$19,'chia CN SX'!$C85)</f>
        <v>0</v>
      </c>
      <c r="I85" s="419">
        <f>SUMIFS(SX!Z$2:Z$19,SX!$B$2:$B$19,'chia CN SX'!$C85)</f>
        <v>0</v>
      </c>
      <c r="J85" s="419">
        <f>SUMIFS(SX!AA$2:AA$19,SX!$B$2:$B$19,'chia CN SX'!$C85)</f>
        <v>0</v>
      </c>
      <c r="K85" s="419">
        <f>SUMIFS(SX!AB$2:AB$19,SX!$B$2:$B$19,'chia CN SX'!$C85)</f>
        <v>0</v>
      </c>
      <c r="L85" s="419">
        <f>SUMIFS(SX!AC$2:AC$19,SX!$B$2:$B$19,'chia CN SX'!$C85)</f>
        <v>0</v>
      </c>
      <c r="M85" s="419">
        <f>SUMIFS(SX!AD$2:AD$19,SX!$B$2:$B$19,'chia CN SX'!$C85)</f>
        <v>0</v>
      </c>
      <c r="N85" s="419">
        <f>SUMIFS(SX!AE$2:AE$19,SX!$B$2:$B$19,'chia CN SX'!$C85)</f>
        <v>0</v>
      </c>
      <c r="O85" s="419">
        <f>SUMIFS(SX!AF$2:AF$19,SX!$B$2:$B$19,'chia CN SX'!$C85)</f>
        <v>0</v>
      </c>
      <c r="P85" s="419">
        <f>SUMIFS(SX!AG$2:AG$19,SX!$B$2:$B$19,'chia CN SX'!$C85)</f>
        <v>0</v>
      </c>
      <c r="Q85" s="419">
        <f>SUMIFS(SX!AH$2:AH$19,SX!$B$2:$B$19,'chia CN SX'!$C85)</f>
        <v>0</v>
      </c>
      <c r="R85" s="419">
        <f>SUMIFS(SX!AI$2:AI$19,SX!$B$2:$B$19,'chia CN SX'!$C85)</f>
        <v>0</v>
      </c>
      <c r="S85" s="419">
        <f>SUMIFS(SX!AJ$2:AJ$19,SX!$B$2:$B$19,'chia CN SX'!$C85)</f>
        <v>0</v>
      </c>
    </row>
    <row r="86" spans="1:19" x14ac:dyDescent="0.25">
      <c r="A86" s="421">
        <f t="shared" si="51"/>
        <v>84</v>
      </c>
      <c r="B86" s="331"/>
      <c r="C86" s="35"/>
      <c r="D86" s="419">
        <f>SUMIFS(SX!U$2:U$19,SX!$B$2:$B$19,'chia CN SX'!$C86)</f>
        <v>0</v>
      </c>
      <c r="E86" s="419">
        <f>SUMIFS(SX!V$2:V$19,SX!$B$2:$B$19,'chia CN SX'!$C86)</f>
        <v>0</v>
      </c>
      <c r="F86" s="419">
        <f>SUMIFS(SX!W$2:W$19,SX!$B$2:$B$19,'chia CN SX'!$C86)</f>
        <v>0</v>
      </c>
      <c r="G86" s="419">
        <f>SUMIFS(SX!X$2:X$19,SX!$B$2:$B$19,'chia CN SX'!$C86)</f>
        <v>0</v>
      </c>
      <c r="H86" s="419">
        <f>SUMIFS(SX!Y$2:Y$19,SX!$B$2:$B$19,'chia CN SX'!$C86)</f>
        <v>0</v>
      </c>
      <c r="I86" s="419">
        <f>SUMIFS(SX!Z$2:Z$19,SX!$B$2:$B$19,'chia CN SX'!$C86)</f>
        <v>0</v>
      </c>
      <c r="J86" s="419">
        <f>SUMIFS(SX!AA$2:AA$19,SX!$B$2:$B$19,'chia CN SX'!$C86)</f>
        <v>0</v>
      </c>
      <c r="K86" s="419">
        <f>SUMIFS(SX!AB$2:AB$19,SX!$B$2:$B$19,'chia CN SX'!$C86)</f>
        <v>0</v>
      </c>
      <c r="L86" s="419">
        <f>SUMIFS(SX!AC$2:AC$19,SX!$B$2:$B$19,'chia CN SX'!$C86)</f>
        <v>0</v>
      </c>
      <c r="M86" s="419">
        <f>SUMIFS(SX!AD$2:AD$19,SX!$B$2:$B$19,'chia CN SX'!$C86)</f>
        <v>0</v>
      </c>
      <c r="N86" s="419">
        <f>SUMIFS(SX!AE$2:AE$19,SX!$B$2:$B$19,'chia CN SX'!$C86)</f>
        <v>0</v>
      </c>
      <c r="O86" s="419">
        <f>SUMIFS(SX!AF$2:AF$19,SX!$B$2:$B$19,'chia CN SX'!$C86)</f>
        <v>0</v>
      </c>
      <c r="P86" s="419">
        <f>SUMIFS(SX!AG$2:AG$19,SX!$B$2:$B$19,'chia CN SX'!$C86)</f>
        <v>0</v>
      </c>
      <c r="Q86" s="419">
        <f>SUMIFS(SX!AH$2:AH$19,SX!$B$2:$B$19,'chia CN SX'!$C86)</f>
        <v>0</v>
      </c>
      <c r="R86" s="419">
        <f>SUMIFS(SX!AI$2:AI$19,SX!$B$2:$B$19,'chia CN SX'!$C86)</f>
        <v>0</v>
      </c>
      <c r="S86" s="419">
        <f>SUMIFS(SX!AJ$2:AJ$19,SX!$B$2:$B$19,'chia CN SX'!$C86)</f>
        <v>0</v>
      </c>
    </row>
    <row r="87" spans="1:19" x14ac:dyDescent="0.25">
      <c r="A87" s="421">
        <f t="shared" si="51"/>
        <v>85</v>
      </c>
      <c r="B87" s="331"/>
      <c r="C87" s="35"/>
      <c r="D87" s="419">
        <f>SUMIFS(SX!U$2:U$19,SX!$B$2:$B$19,'chia CN SX'!$C87)</f>
        <v>0</v>
      </c>
      <c r="E87" s="419">
        <f>SUMIFS(SX!V$2:V$19,SX!$B$2:$B$19,'chia CN SX'!$C87)</f>
        <v>0</v>
      </c>
      <c r="F87" s="419">
        <f>SUMIFS(SX!W$2:W$19,SX!$B$2:$B$19,'chia CN SX'!$C87)</f>
        <v>0</v>
      </c>
      <c r="G87" s="419">
        <f>SUMIFS(SX!X$2:X$19,SX!$B$2:$B$19,'chia CN SX'!$C87)</f>
        <v>0</v>
      </c>
      <c r="H87" s="419">
        <f>SUMIFS(SX!Y$2:Y$19,SX!$B$2:$B$19,'chia CN SX'!$C87)</f>
        <v>0</v>
      </c>
      <c r="I87" s="419">
        <f>SUMIFS(SX!Z$2:Z$19,SX!$B$2:$B$19,'chia CN SX'!$C87)</f>
        <v>0</v>
      </c>
      <c r="J87" s="419">
        <f>SUMIFS(SX!AA$2:AA$19,SX!$B$2:$B$19,'chia CN SX'!$C87)</f>
        <v>0</v>
      </c>
      <c r="K87" s="419">
        <f>SUMIFS(SX!AB$2:AB$19,SX!$B$2:$B$19,'chia CN SX'!$C87)</f>
        <v>0</v>
      </c>
      <c r="L87" s="419">
        <f>SUMIFS(SX!AC$2:AC$19,SX!$B$2:$B$19,'chia CN SX'!$C87)</f>
        <v>0</v>
      </c>
      <c r="M87" s="419">
        <f>SUMIFS(SX!AD$2:AD$19,SX!$B$2:$B$19,'chia CN SX'!$C87)</f>
        <v>0</v>
      </c>
      <c r="N87" s="419">
        <f>SUMIFS(SX!AE$2:AE$19,SX!$B$2:$B$19,'chia CN SX'!$C87)</f>
        <v>0</v>
      </c>
      <c r="O87" s="419">
        <f>SUMIFS(SX!AF$2:AF$19,SX!$B$2:$B$19,'chia CN SX'!$C87)</f>
        <v>0</v>
      </c>
      <c r="P87" s="419">
        <f>SUMIFS(SX!AG$2:AG$19,SX!$B$2:$B$19,'chia CN SX'!$C87)</f>
        <v>0</v>
      </c>
      <c r="Q87" s="419">
        <f>SUMIFS(SX!AH$2:AH$19,SX!$B$2:$B$19,'chia CN SX'!$C87)</f>
        <v>0</v>
      </c>
      <c r="R87" s="419">
        <f>SUMIFS(SX!AI$2:AI$19,SX!$B$2:$B$19,'chia CN SX'!$C87)</f>
        <v>0</v>
      </c>
      <c r="S87" s="419">
        <f>SUMIFS(SX!AJ$2:AJ$19,SX!$B$2:$B$19,'chia CN SX'!$C87)</f>
        <v>0</v>
      </c>
    </row>
    <row r="88" spans="1:19" x14ac:dyDescent="0.25">
      <c r="A88" s="421">
        <f t="shared" si="51"/>
        <v>86</v>
      </c>
      <c r="B88" s="331"/>
      <c r="C88" s="35"/>
      <c r="D88" s="419">
        <f>SUMIFS(SX!U$2:U$19,SX!$B$2:$B$19,'chia CN SX'!$C88)</f>
        <v>0</v>
      </c>
      <c r="E88" s="419">
        <f>SUMIFS(SX!V$2:V$19,SX!$B$2:$B$19,'chia CN SX'!$C88)</f>
        <v>0</v>
      </c>
      <c r="F88" s="419">
        <f>SUMIFS(SX!W$2:W$19,SX!$B$2:$B$19,'chia CN SX'!$C88)</f>
        <v>0</v>
      </c>
      <c r="G88" s="419">
        <f>SUMIFS(SX!X$2:X$19,SX!$B$2:$B$19,'chia CN SX'!$C88)</f>
        <v>0</v>
      </c>
      <c r="H88" s="419">
        <f>SUMIFS(SX!Y$2:Y$19,SX!$B$2:$B$19,'chia CN SX'!$C88)</f>
        <v>0</v>
      </c>
      <c r="I88" s="419">
        <f>SUMIFS(SX!Z$2:Z$19,SX!$B$2:$B$19,'chia CN SX'!$C88)</f>
        <v>0</v>
      </c>
      <c r="J88" s="419">
        <f>SUMIFS(SX!AA$2:AA$19,SX!$B$2:$B$19,'chia CN SX'!$C88)</f>
        <v>0</v>
      </c>
      <c r="K88" s="419">
        <f>SUMIFS(SX!AB$2:AB$19,SX!$B$2:$B$19,'chia CN SX'!$C88)</f>
        <v>0</v>
      </c>
      <c r="L88" s="419">
        <f>SUMIFS(SX!AC$2:AC$19,SX!$B$2:$B$19,'chia CN SX'!$C88)</f>
        <v>0</v>
      </c>
      <c r="M88" s="419">
        <f>SUMIFS(SX!AD$2:AD$19,SX!$B$2:$B$19,'chia CN SX'!$C88)</f>
        <v>0</v>
      </c>
      <c r="N88" s="419">
        <f>SUMIFS(SX!AE$2:AE$19,SX!$B$2:$B$19,'chia CN SX'!$C88)</f>
        <v>0</v>
      </c>
      <c r="O88" s="419">
        <f>SUMIFS(SX!AF$2:AF$19,SX!$B$2:$B$19,'chia CN SX'!$C88)</f>
        <v>0</v>
      </c>
      <c r="P88" s="419">
        <f>SUMIFS(SX!AG$2:AG$19,SX!$B$2:$B$19,'chia CN SX'!$C88)</f>
        <v>0</v>
      </c>
      <c r="Q88" s="419">
        <f>SUMIFS(SX!AH$2:AH$19,SX!$B$2:$B$19,'chia CN SX'!$C88)</f>
        <v>0</v>
      </c>
      <c r="R88" s="419">
        <f>SUMIFS(SX!AI$2:AI$19,SX!$B$2:$B$19,'chia CN SX'!$C88)</f>
        <v>0</v>
      </c>
      <c r="S88" s="419">
        <f>SUMIFS(SX!AJ$2:AJ$19,SX!$B$2:$B$19,'chia CN SX'!$C88)</f>
        <v>0</v>
      </c>
    </row>
    <row r="89" spans="1:19" x14ac:dyDescent="0.25">
      <c r="A89" s="421">
        <f t="shared" si="51"/>
        <v>87</v>
      </c>
      <c r="B89" s="331"/>
      <c r="C89" s="35"/>
      <c r="D89" s="419">
        <f>SUMIFS(SX!U$2:U$19,SX!$B$2:$B$19,'chia CN SX'!$C89)</f>
        <v>0</v>
      </c>
      <c r="E89" s="419">
        <f>SUMIFS(SX!V$2:V$19,SX!$B$2:$B$19,'chia CN SX'!$C89)</f>
        <v>0</v>
      </c>
      <c r="F89" s="419">
        <f>SUMIFS(SX!W$2:W$19,SX!$B$2:$B$19,'chia CN SX'!$C89)</f>
        <v>0</v>
      </c>
      <c r="G89" s="419">
        <f>SUMIFS(SX!X$2:X$19,SX!$B$2:$B$19,'chia CN SX'!$C89)</f>
        <v>0</v>
      </c>
      <c r="H89" s="419">
        <f>SUMIFS(SX!Y$2:Y$19,SX!$B$2:$B$19,'chia CN SX'!$C89)</f>
        <v>0</v>
      </c>
      <c r="I89" s="419">
        <f>SUMIFS(SX!Z$2:Z$19,SX!$B$2:$B$19,'chia CN SX'!$C89)</f>
        <v>0</v>
      </c>
      <c r="J89" s="419">
        <f>SUMIFS(SX!AA$2:AA$19,SX!$B$2:$B$19,'chia CN SX'!$C89)</f>
        <v>0</v>
      </c>
      <c r="K89" s="419">
        <f>SUMIFS(SX!AB$2:AB$19,SX!$B$2:$B$19,'chia CN SX'!$C89)</f>
        <v>0</v>
      </c>
      <c r="L89" s="419">
        <f>SUMIFS(SX!AC$2:AC$19,SX!$B$2:$B$19,'chia CN SX'!$C89)</f>
        <v>0</v>
      </c>
      <c r="M89" s="419">
        <f>SUMIFS(SX!AD$2:AD$19,SX!$B$2:$B$19,'chia CN SX'!$C89)</f>
        <v>0</v>
      </c>
      <c r="N89" s="419">
        <f>SUMIFS(SX!AE$2:AE$19,SX!$B$2:$B$19,'chia CN SX'!$C89)</f>
        <v>0</v>
      </c>
      <c r="O89" s="419">
        <f>SUMIFS(SX!AF$2:AF$19,SX!$B$2:$B$19,'chia CN SX'!$C89)</f>
        <v>0</v>
      </c>
      <c r="P89" s="419">
        <f>SUMIFS(SX!AG$2:AG$19,SX!$B$2:$B$19,'chia CN SX'!$C89)</f>
        <v>0</v>
      </c>
      <c r="Q89" s="419">
        <f>SUMIFS(SX!AH$2:AH$19,SX!$B$2:$B$19,'chia CN SX'!$C89)</f>
        <v>0</v>
      </c>
      <c r="R89" s="419">
        <f>SUMIFS(SX!AI$2:AI$19,SX!$B$2:$B$19,'chia CN SX'!$C89)</f>
        <v>0</v>
      </c>
      <c r="S89" s="419">
        <f>SUMIFS(SX!AJ$2:AJ$19,SX!$B$2:$B$19,'chia CN SX'!$C89)</f>
        <v>0</v>
      </c>
    </row>
    <row r="90" spans="1:19" x14ac:dyDescent="0.25">
      <c r="A90" s="421">
        <f t="shared" si="51"/>
        <v>88</v>
      </c>
      <c r="B90" s="331"/>
      <c r="C90" s="35"/>
      <c r="D90" s="419">
        <f>SUMIFS(SX!U$2:U$19,SX!$B$2:$B$19,'chia CN SX'!$C90)</f>
        <v>0</v>
      </c>
      <c r="E90" s="419">
        <f>SUMIFS(SX!V$2:V$19,SX!$B$2:$B$19,'chia CN SX'!$C90)</f>
        <v>0</v>
      </c>
      <c r="F90" s="419">
        <f>SUMIFS(SX!W$2:W$19,SX!$B$2:$B$19,'chia CN SX'!$C90)</f>
        <v>0</v>
      </c>
      <c r="G90" s="419">
        <f>SUMIFS(SX!X$2:X$19,SX!$B$2:$B$19,'chia CN SX'!$C90)</f>
        <v>0</v>
      </c>
      <c r="H90" s="419">
        <f>SUMIFS(SX!Y$2:Y$19,SX!$B$2:$B$19,'chia CN SX'!$C90)</f>
        <v>0</v>
      </c>
      <c r="I90" s="419">
        <f>SUMIFS(SX!Z$2:Z$19,SX!$B$2:$B$19,'chia CN SX'!$C90)</f>
        <v>0</v>
      </c>
      <c r="J90" s="419">
        <f>SUMIFS(SX!AA$2:AA$19,SX!$B$2:$B$19,'chia CN SX'!$C90)</f>
        <v>0</v>
      </c>
      <c r="K90" s="419">
        <f>SUMIFS(SX!AB$2:AB$19,SX!$B$2:$B$19,'chia CN SX'!$C90)</f>
        <v>0</v>
      </c>
      <c r="L90" s="419">
        <f>SUMIFS(SX!AC$2:AC$19,SX!$B$2:$B$19,'chia CN SX'!$C90)</f>
        <v>0</v>
      </c>
      <c r="M90" s="419">
        <f>SUMIFS(SX!AD$2:AD$19,SX!$B$2:$B$19,'chia CN SX'!$C90)</f>
        <v>0</v>
      </c>
      <c r="N90" s="419">
        <f>SUMIFS(SX!AE$2:AE$19,SX!$B$2:$B$19,'chia CN SX'!$C90)</f>
        <v>0</v>
      </c>
      <c r="O90" s="419">
        <f>SUMIFS(SX!AF$2:AF$19,SX!$B$2:$B$19,'chia CN SX'!$C90)</f>
        <v>0</v>
      </c>
      <c r="P90" s="419">
        <f>SUMIFS(SX!AG$2:AG$19,SX!$B$2:$B$19,'chia CN SX'!$C90)</f>
        <v>0</v>
      </c>
      <c r="Q90" s="419">
        <f>SUMIFS(SX!AH$2:AH$19,SX!$B$2:$B$19,'chia CN SX'!$C90)</f>
        <v>0</v>
      </c>
      <c r="R90" s="419">
        <f>SUMIFS(SX!AI$2:AI$19,SX!$B$2:$B$19,'chia CN SX'!$C90)</f>
        <v>0</v>
      </c>
      <c r="S90" s="419">
        <f>SUMIFS(SX!AJ$2:AJ$19,SX!$B$2:$B$19,'chia CN SX'!$C90)</f>
        <v>0</v>
      </c>
    </row>
    <row r="91" spans="1:19" x14ac:dyDescent="0.25">
      <c r="A91" s="421">
        <f t="shared" si="51"/>
        <v>89</v>
      </c>
      <c r="B91" s="331"/>
      <c r="C91" s="35"/>
      <c r="D91" s="419">
        <f>SUMIFS(SX!U$2:U$19,SX!$B$2:$B$19,'chia CN SX'!$C91)</f>
        <v>0</v>
      </c>
      <c r="E91" s="419">
        <f>SUMIFS(SX!V$2:V$19,SX!$B$2:$B$19,'chia CN SX'!$C91)</f>
        <v>0</v>
      </c>
      <c r="F91" s="419">
        <f>SUMIFS(SX!W$2:W$19,SX!$B$2:$B$19,'chia CN SX'!$C91)</f>
        <v>0</v>
      </c>
      <c r="G91" s="419">
        <f>SUMIFS(SX!X$2:X$19,SX!$B$2:$B$19,'chia CN SX'!$C91)</f>
        <v>0</v>
      </c>
      <c r="H91" s="419">
        <f>SUMIFS(SX!Y$2:Y$19,SX!$B$2:$B$19,'chia CN SX'!$C91)</f>
        <v>0</v>
      </c>
      <c r="I91" s="419">
        <f>SUMIFS(SX!Z$2:Z$19,SX!$B$2:$B$19,'chia CN SX'!$C91)</f>
        <v>0</v>
      </c>
      <c r="J91" s="419">
        <f>SUMIFS(SX!AA$2:AA$19,SX!$B$2:$B$19,'chia CN SX'!$C91)</f>
        <v>0</v>
      </c>
      <c r="K91" s="419">
        <f>SUMIFS(SX!AB$2:AB$19,SX!$B$2:$B$19,'chia CN SX'!$C91)</f>
        <v>0</v>
      </c>
      <c r="L91" s="419">
        <f>SUMIFS(SX!AC$2:AC$19,SX!$B$2:$B$19,'chia CN SX'!$C91)</f>
        <v>0</v>
      </c>
      <c r="M91" s="419">
        <f>SUMIFS(SX!AD$2:AD$19,SX!$B$2:$B$19,'chia CN SX'!$C91)</f>
        <v>0</v>
      </c>
      <c r="N91" s="419">
        <f>SUMIFS(SX!AE$2:AE$19,SX!$B$2:$B$19,'chia CN SX'!$C91)</f>
        <v>0</v>
      </c>
      <c r="O91" s="419">
        <f>SUMIFS(SX!AF$2:AF$19,SX!$B$2:$B$19,'chia CN SX'!$C91)</f>
        <v>0</v>
      </c>
      <c r="P91" s="419">
        <f>SUMIFS(SX!AG$2:AG$19,SX!$B$2:$B$19,'chia CN SX'!$C91)</f>
        <v>0</v>
      </c>
      <c r="Q91" s="419">
        <f>SUMIFS(SX!AH$2:AH$19,SX!$B$2:$B$19,'chia CN SX'!$C91)</f>
        <v>0</v>
      </c>
      <c r="R91" s="419">
        <f>SUMIFS(SX!AI$2:AI$19,SX!$B$2:$B$19,'chia CN SX'!$C91)</f>
        <v>0</v>
      </c>
      <c r="S91" s="419">
        <f>SUMIFS(SX!AJ$2:AJ$19,SX!$B$2:$B$19,'chia CN SX'!$C91)</f>
        <v>0</v>
      </c>
    </row>
    <row r="92" spans="1:19" x14ac:dyDescent="0.25">
      <c r="A92" s="421">
        <f t="shared" si="51"/>
        <v>90</v>
      </c>
      <c r="B92" s="331"/>
      <c r="C92" s="35"/>
      <c r="D92" s="419">
        <f>SUMIFS(SX!U$2:U$19,SX!$B$2:$B$19,'chia CN SX'!$C92)</f>
        <v>0</v>
      </c>
      <c r="E92" s="419">
        <f>SUMIFS(SX!V$2:V$19,SX!$B$2:$B$19,'chia CN SX'!$C92)</f>
        <v>0</v>
      </c>
      <c r="F92" s="419">
        <f>SUMIFS(SX!W$2:W$19,SX!$B$2:$B$19,'chia CN SX'!$C92)</f>
        <v>0</v>
      </c>
      <c r="G92" s="419">
        <f>SUMIFS(SX!X$2:X$19,SX!$B$2:$B$19,'chia CN SX'!$C92)</f>
        <v>0</v>
      </c>
      <c r="H92" s="419">
        <f>SUMIFS(SX!Y$2:Y$19,SX!$B$2:$B$19,'chia CN SX'!$C92)</f>
        <v>0</v>
      </c>
      <c r="I92" s="419">
        <f>SUMIFS(SX!Z$2:Z$19,SX!$B$2:$B$19,'chia CN SX'!$C92)</f>
        <v>0</v>
      </c>
      <c r="J92" s="419">
        <f>SUMIFS(SX!AA$2:AA$19,SX!$B$2:$B$19,'chia CN SX'!$C92)</f>
        <v>0</v>
      </c>
      <c r="K92" s="419">
        <f>SUMIFS(SX!AB$2:AB$19,SX!$B$2:$B$19,'chia CN SX'!$C92)</f>
        <v>0</v>
      </c>
      <c r="L92" s="419">
        <f>SUMIFS(SX!AC$2:AC$19,SX!$B$2:$B$19,'chia CN SX'!$C92)</f>
        <v>0</v>
      </c>
      <c r="M92" s="419">
        <f>SUMIFS(SX!AD$2:AD$19,SX!$B$2:$B$19,'chia CN SX'!$C92)</f>
        <v>0</v>
      </c>
      <c r="N92" s="419">
        <f>SUMIFS(SX!AE$2:AE$19,SX!$B$2:$B$19,'chia CN SX'!$C92)</f>
        <v>0</v>
      </c>
      <c r="O92" s="419">
        <f>SUMIFS(SX!AF$2:AF$19,SX!$B$2:$B$19,'chia CN SX'!$C92)</f>
        <v>0</v>
      </c>
      <c r="P92" s="419">
        <f>SUMIFS(SX!AG$2:AG$19,SX!$B$2:$B$19,'chia CN SX'!$C92)</f>
        <v>0</v>
      </c>
      <c r="Q92" s="419">
        <f>SUMIFS(SX!AH$2:AH$19,SX!$B$2:$B$19,'chia CN SX'!$C92)</f>
        <v>0</v>
      </c>
      <c r="R92" s="419">
        <f>SUMIFS(SX!AI$2:AI$19,SX!$B$2:$B$19,'chia CN SX'!$C92)</f>
        <v>0</v>
      </c>
      <c r="S92" s="419">
        <f>SUMIFS(SX!AJ$2:AJ$19,SX!$B$2:$B$19,'chia CN SX'!$C92)</f>
        <v>0</v>
      </c>
    </row>
    <row r="93" spans="1:19" x14ac:dyDescent="0.25">
      <c r="A93" s="421">
        <f t="shared" si="51"/>
        <v>91</v>
      </c>
      <c r="B93" s="331"/>
      <c r="C93" s="35"/>
      <c r="D93" s="419">
        <f>SUMIFS(SX!U$2:U$19,SX!$B$2:$B$19,'chia CN SX'!$C93)</f>
        <v>0</v>
      </c>
      <c r="E93" s="419">
        <f>SUMIFS(SX!V$2:V$19,SX!$B$2:$B$19,'chia CN SX'!$C93)</f>
        <v>0</v>
      </c>
      <c r="F93" s="419">
        <f>SUMIFS(SX!W$2:W$19,SX!$B$2:$B$19,'chia CN SX'!$C93)</f>
        <v>0</v>
      </c>
      <c r="G93" s="419">
        <f>SUMIFS(SX!X$2:X$19,SX!$B$2:$B$19,'chia CN SX'!$C93)</f>
        <v>0</v>
      </c>
      <c r="H93" s="419">
        <f>SUMIFS(SX!Y$2:Y$19,SX!$B$2:$B$19,'chia CN SX'!$C93)</f>
        <v>0</v>
      </c>
      <c r="I93" s="419">
        <f>SUMIFS(SX!Z$2:Z$19,SX!$B$2:$B$19,'chia CN SX'!$C93)</f>
        <v>0</v>
      </c>
      <c r="J93" s="419">
        <f>SUMIFS(SX!AA$2:AA$19,SX!$B$2:$B$19,'chia CN SX'!$C93)</f>
        <v>0</v>
      </c>
      <c r="K93" s="419">
        <f>SUMIFS(SX!AB$2:AB$19,SX!$B$2:$B$19,'chia CN SX'!$C93)</f>
        <v>0</v>
      </c>
      <c r="L93" s="419">
        <f>SUMIFS(SX!AC$2:AC$19,SX!$B$2:$B$19,'chia CN SX'!$C93)</f>
        <v>0</v>
      </c>
      <c r="M93" s="419">
        <f>SUMIFS(SX!AD$2:AD$19,SX!$B$2:$B$19,'chia CN SX'!$C93)</f>
        <v>0</v>
      </c>
      <c r="N93" s="419">
        <f>SUMIFS(SX!AE$2:AE$19,SX!$B$2:$B$19,'chia CN SX'!$C93)</f>
        <v>0</v>
      </c>
      <c r="O93" s="419">
        <f>SUMIFS(SX!AF$2:AF$19,SX!$B$2:$B$19,'chia CN SX'!$C93)</f>
        <v>0</v>
      </c>
      <c r="P93" s="419">
        <f>SUMIFS(SX!AG$2:AG$19,SX!$B$2:$B$19,'chia CN SX'!$C93)</f>
        <v>0</v>
      </c>
      <c r="Q93" s="419">
        <f>SUMIFS(SX!AH$2:AH$19,SX!$B$2:$B$19,'chia CN SX'!$C93)</f>
        <v>0</v>
      </c>
      <c r="R93" s="419">
        <f>SUMIFS(SX!AI$2:AI$19,SX!$B$2:$B$19,'chia CN SX'!$C93)</f>
        <v>0</v>
      </c>
      <c r="S93" s="419">
        <f>SUMIFS(SX!AJ$2:AJ$19,SX!$B$2:$B$19,'chia CN SX'!$C93)</f>
        <v>0</v>
      </c>
    </row>
    <row r="94" spans="1:19" x14ac:dyDescent="0.25">
      <c r="A94" s="421">
        <f t="shared" si="51"/>
        <v>92</v>
      </c>
      <c r="B94" s="331"/>
      <c r="C94" s="35"/>
      <c r="D94" s="419">
        <f>SUMIFS(SX!U$2:U$19,SX!$B$2:$B$19,'chia CN SX'!$C94)</f>
        <v>0</v>
      </c>
      <c r="E94" s="419">
        <f>SUMIFS(SX!V$2:V$19,SX!$B$2:$B$19,'chia CN SX'!$C94)</f>
        <v>0</v>
      </c>
      <c r="F94" s="419">
        <f>SUMIFS(SX!W$2:W$19,SX!$B$2:$B$19,'chia CN SX'!$C94)</f>
        <v>0</v>
      </c>
      <c r="G94" s="419">
        <f>SUMIFS(SX!X$2:X$19,SX!$B$2:$B$19,'chia CN SX'!$C94)</f>
        <v>0</v>
      </c>
      <c r="H94" s="419">
        <f>SUMIFS(SX!Y$2:Y$19,SX!$B$2:$B$19,'chia CN SX'!$C94)</f>
        <v>0</v>
      </c>
      <c r="I94" s="419">
        <f>SUMIFS(SX!Z$2:Z$19,SX!$B$2:$B$19,'chia CN SX'!$C94)</f>
        <v>0</v>
      </c>
      <c r="J94" s="419">
        <f>SUMIFS(SX!AA$2:AA$19,SX!$B$2:$B$19,'chia CN SX'!$C94)</f>
        <v>0</v>
      </c>
      <c r="K94" s="419">
        <f>SUMIFS(SX!AB$2:AB$19,SX!$B$2:$B$19,'chia CN SX'!$C94)</f>
        <v>0</v>
      </c>
      <c r="L94" s="419">
        <f>SUMIFS(SX!AC$2:AC$19,SX!$B$2:$B$19,'chia CN SX'!$C94)</f>
        <v>0</v>
      </c>
      <c r="M94" s="419">
        <f>SUMIFS(SX!AD$2:AD$19,SX!$B$2:$B$19,'chia CN SX'!$C94)</f>
        <v>0</v>
      </c>
      <c r="N94" s="419">
        <f>SUMIFS(SX!AE$2:AE$19,SX!$B$2:$B$19,'chia CN SX'!$C94)</f>
        <v>0</v>
      </c>
      <c r="O94" s="419">
        <f>SUMIFS(SX!AF$2:AF$19,SX!$B$2:$B$19,'chia CN SX'!$C94)</f>
        <v>0</v>
      </c>
      <c r="P94" s="419">
        <f>SUMIFS(SX!AG$2:AG$19,SX!$B$2:$B$19,'chia CN SX'!$C94)</f>
        <v>0</v>
      </c>
      <c r="Q94" s="419">
        <f>SUMIFS(SX!AH$2:AH$19,SX!$B$2:$B$19,'chia CN SX'!$C94)</f>
        <v>0</v>
      </c>
      <c r="R94" s="419">
        <f>SUMIFS(SX!AI$2:AI$19,SX!$B$2:$B$19,'chia CN SX'!$C94)</f>
        <v>0</v>
      </c>
      <c r="S94" s="419">
        <f>SUMIFS(SX!AJ$2:AJ$19,SX!$B$2:$B$19,'chia CN SX'!$C94)</f>
        <v>0</v>
      </c>
    </row>
    <row r="95" spans="1:19" x14ac:dyDescent="0.25">
      <c r="A95" s="421">
        <f t="shared" si="51"/>
        <v>93</v>
      </c>
      <c r="B95" s="331"/>
      <c r="C95" s="35"/>
      <c r="D95" s="419">
        <f>SUMIFS(SX!U$2:U$19,SX!$B$2:$B$19,'chia CN SX'!$C95)</f>
        <v>0</v>
      </c>
      <c r="E95" s="419">
        <f>SUMIFS(SX!V$2:V$19,SX!$B$2:$B$19,'chia CN SX'!$C95)</f>
        <v>0</v>
      </c>
      <c r="F95" s="419">
        <f>SUMIFS(SX!W$2:W$19,SX!$B$2:$B$19,'chia CN SX'!$C95)</f>
        <v>0</v>
      </c>
      <c r="G95" s="419">
        <f>SUMIFS(SX!X$2:X$19,SX!$B$2:$B$19,'chia CN SX'!$C95)</f>
        <v>0</v>
      </c>
      <c r="H95" s="419">
        <f>SUMIFS(SX!Y$2:Y$19,SX!$B$2:$B$19,'chia CN SX'!$C95)</f>
        <v>0</v>
      </c>
      <c r="I95" s="419">
        <f>SUMIFS(SX!Z$2:Z$19,SX!$B$2:$B$19,'chia CN SX'!$C95)</f>
        <v>0</v>
      </c>
      <c r="J95" s="419">
        <f>SUMIFS(SX!AA$2:AA$19,SX!$B$2:$B$19,'chia CN SX'!$C95)</f>
        <v>0</v>
      </c>
      <c r="K95" s="419">
        <f>SUMIFS(SX!AB$2:AB$19,SX!$B$2:$B$19,'chia CN SX'!$C95)</f>
        <v>0</v>
      </c>
      <c r="L95" s="419">
        <f>SUMIFS(SX!AC$2:AC$19,SX!$B$2:$B$19,'chia CN SX'!$C95)</f>
        <v>0</v>
      </c>
      <c r="M95" s="419">
        <f>SUMIFS(SX!AD$2:AD$19,SX!$B$2:$B$19,'chia CN SX'!$C95)</f>
        <v>0</v>
      </c>
      <c r="N95" s="419">
        <f>SUMIFS(SX!AE$2:AE$19,SX!$B$2:$B$19,'chia CN SX'!$C95)</f>
        <v>0</v>
      </c>
      <c r="O95" s="419">
        <f>SUMIFS(SX!AF$2:AF$19,SX!$B$2:$B$19,'chia CN SX'!$C95)</f>
        <v>0</v>
      </c>
      <c r="P95" s="419">
        <f>SUMIFS(SX!AG$2:AG$19,SX!$B$2:$B$19,'chia CN SX'!$C95)</f>
        <v>0</v>
      </c>
      <c r="Q95" s="419">
        <f>SUMIFS(SX!AH$2:AH$19,SX!$B$2:$B$19,'chia CN SX'!$C95)</f>
        <v>0</v>
      </c>
      <c r="R95" s="419">
        <f>SUMIFS(SX!AI$2:AI$19,SX!$B$2:$B$19,'chia CN SX'!$C95)</f>
        <v>0</v>
      </c>
      <c r="S95" s="419">
        <f>SUMIFS(SX!AJ$2:AJ$19,SX!$B$2:$B$19,'chia CN SX'!$C95)</f>
        <v>0</v>
      </c>
    </row>
    <row r="96" spans="1:19" x14ac:dyDescent="0.25">
      <c r="A96" s="421">
        <f t="shared" si="51"/>
        <v>94</v>
      </c>
      <c r="B96" s="331"/>
      <c r="C96" s="35"/>
      <c r="D96" s="419">
        <f>SUMIFS(SX!U$2:U$19,SX!$B$2:$B$19,'chia CN SX'!$C96)</f>
        <v>0</v>
      </c>
      <c r="E96" s="419">
        <f>SUMIFS(SX!V$2:V$19,SX!$B$2:$B$19,'chia CN SX'!$C96)</f>
        <v>0</v>
      </c>
      <c r="F96" s="419">
        <f>SUMIFS(SX!W$2:W$19,SX!$B$2:$B$19,'chia CN SX'!$C96)</f>
        <v>0</v>
      </c>
      <c r="G96" s="419">
        <f>SUMIFS(SX!X$2:X$19,SX!$B$2:$B$19,'chia CN SX'!$C96)</f>
        <v>0</v>
      </c>
      <c r="H96" s="419">
        <f>SUMIFS(SX!Y$2:Y$19,SX!$B$2:$B$19,'chia CN SX'!$C96)</f>
        <v>0</v>
      </c>
      <c r="I96" s="419">
        <f>SUMIFS(SX!Z$2:Z$19,SX!$B$2:$B$19,'chia CN SX'!$C96)</f>
        <v>0</v>
      </c>
      <c r="J96" s="419">
        <f>SUMIFS(SX!AA$2:AA$19,SX!$B$2:$B$19,'chia CN SX'!$C96)</f>
        <v>0</v>
      </c>
      <c r="K96" s="419">
        <f>SUMIFS(SX!AB$2:AB$19,SX!$B$2:$B$19,'chia CN SX'!$C96)</f>
        <v>0</v>
      </c>
      <c r="L96" s="419">
        <f>SUMIFS(SX!AC$2:AC$19,SX!$B$2:$B$19,'chia CN SX'!$C96)</f>
        <v>0</v>
      </c>
      <c r="M96" s="419">
        <f>SUMIFS(SX!AD$2:AD$19,SX!$B$2:$B$19,'chia CN SX'!$C96)</f>
        <v>0</v>
      </c>
      <c r="N96" s="419">
        <f>SUMIFS(SX!AE$2:AE$19,SX!$B$2:$B$19,'chia CN SX'!$C96)</f>
        <v>0</v>
      </c>
      <c r="O96" s="419">
        <f>SUMIFS(SX!AF$2:AF$19,SX!$B$2:$B$19,'chia CN SX'!$C96)</f>
        <v>0</v>
      </c>
      <c r="P96" s="419">
        <f>SUMIFS(SX!AG$2:AG$19,SX!$B$2:$B$19,'chia CN SX'!$C96)</f>
        <v>0</v>
      </c>
      <c r="Q96" s="419">
        <f>SUMIFS(SX!AH$2:AH$19,SX!$B$2:$B$19,'chia CN SX'!$C96)</f>
        <v>0</v>
      </c>
      <c r="R96" s="419">
        <f>SUMIFS(SX!AI$2:AI$19,SX!$B$2:$B$19,'chia CN SX'!$C96)</f>
        <v>0</v>
      </c>
      <c r="S96" s="419">
        <f>SUMIFS(SX!AJ$2:AJ$19,SX!$B$2:$B$19,'chia CN SX'!$C96)</f>
        <v>0</v>
      </c>
    </row>
    <row r="97" spans="1:19" x14ac:dyDescent="0.25">
      <c r="A97" s="421">
        <f t="shared" si="51"/>
        <v>95</v>
      </c>
      <c r="B97" s="331"/>
      <c r="C97" s="35"/>
      <c r="D97" s="419">
        <f>SUMIFS(SX!U$2:U$19,SX!$B$2:$B$19,'chia CN SX'!$C97)</f>
        <v>0</v>
      </c>
      <c r="E97" s="419">
        <f>SUMIFS(SX!V$2:V$19,SX!$B$2:$B$19,'chia CN SX'!$C97)</f>
        <v>0</v>
      </c>
      <c r="F97" s="419">
        <f>SUMIFS(SX!W$2:W$19,SX!$B$2:$B$19,'chia CN SX'!$C97)</f>
        <v>0</v>
      </c>
      <c r="G97" s="419">
        <f>SUMIFS(SX!X$2:X$19,SX!$B$2:$B$19,'chia CN SX'!$C97)</f>
        <v>0</v>
      </c>
      <c r="H97" s="419">
        <f>SUMIFS(SX!Y$2:Y$19,SX!$B$2:$B$19,'chia CN SX'!$C97)</f>
        <v>0</v>
      </c>
      <c r="I97" s="419">
        <f>SUMIFS(SX!Z$2:Z$19,SX!$B$2:$B$19,'chia CN SX'!$C97)</f>
        <v>0</v>
      </c>
      <c r="J97" s="419">
        <f>SUMIFS(SX!AA$2:AA$19,SX!$B$2:$B$19,'chia CN SX'!$C97)</f>
        <v>0</v>
      </c>
      <c r="K97" s="419">
        <f>SUMIFS(SX!AB$2:AB$19,SX!$B$2:$B$19,'chia CN SX'!$C97)</f>
        <v>0</v>
      </c>
      <c r="L97" s="419">
        <f>SUMIFS(SX!AC$2:AC$19,SX!$B$2:$B$19,'chia CN SX'!$C97)</f>
        <v>0</v>
      </c>
      <c r="M97" s="419">
        <f>SUMIFS(SX!AD$2:AD$19,SX!$B$2:$B$19,'chia CN SX'!$C97)</f>
        <v>0</v>
      </c>
      <c r="N97" s="419">
        <f>SUMIFS(SX!AE$2:AE$19,SX!$B$2:$B$19,'chia CN SX'!$C97)</f>
        <v>0</v>
      </c>
      <c r="O97" s="419">
        <f>SUMIFS(SX!AF$2:AF$19,SX!$B$2:$B$19,'chia CN SX'!$C97)</f>
        <v>0</v>
      </c>
      <c r="P97" s="419">
        <f>SUMIFS(SX!AG$2:AG$19,SX!$B$2:$B$19,'chia CN SX'!$C97)</f>
        <v>0</v>
      </c>
      <c r="Q97" s="419">
        <f>SUMIFS(SX!AH$2:AH$19,SX!$B$2:$B$19,'chia CN SX'!$C97)</f>
        <v>0</v>
      </c>
      <c r="R97" s="419">
        <f>SUMIFS(SX!AI$2:AI$19,SX!$B$2:$B$19,'chia CN SX'!$C97)</f>
        <v>0</v>
      </c>
      <c r="S97" s="419">
        <f>SUMIFS(SX!AJ$2:AJ$19,SX!$B$2:$B$19,'chia CN SX'!$C97)</f>
        <v>0</v>
      </c>
    </row>
    <row r="98" spans="1:19" x14ac:dyDescent="0.25">
      <c r="A98" s="421">
        <f t="shared" si="51"/>
        <v>96</v>
      </c>
      <c r="B98" s="331"/>
      <c r="C98" s="35"/>
      <c r="D98" s="419">
        <f>SUMIFS(SX!U$2:U$19,SX!$B$2:$B$19,'chia CN SX'!$C98)</f>
        <v>0</v>
      </c>
      <c r="E98" s="419">
        <f>SUMIFS(SX!V$2:V$19,SX!$B$2:$B$19,'chia CN SX'!$C98)</f>
        <v>0</v>
      </c>
      <c r="F98" s="419">
        <f>SUMIFS(SX!W$2:W$19,SX!$B$2:$B$19,'chia CN SX'!$C98)</f>
        <v>0</v>
      </c>
      <c r="G98" s="419">
        <f>SUMIFS(SX!X$2:X$19,SX!$B$2:$B$19,'chia CN SX'!$C98)</f>
        <v>0</v>
      </c>
      <c r="H98" s="419">
        <f>SUMIFS(SX!Y$2:Y$19,SX!$B$2:$B$19,'chia CN SX'!$C98)</f>
        <v>0</v>
      </c>
      <c r="I98" s="419">
        <f>SUMIFS(SX!Z$2:Z$19,SX!$B$2:$B$19,'chia CN SX'!$C98)</f>
        <v>0</v>
      </c>
      <c r="J98" s="419">
        <f>SUMIFS(SX!AA$2:AA$19,SX!$B$2:$B$19,'chia CN SX'!$C98)</f>
        <v>0</v>
      </c>
      <c r="K98" s="419">
        <f>SUMIFS(SX!AB$2:AB$19,SX!$B$2:$B$19,'chia CN SX'!$C98)</f>
        <v>0</v>
      </c>
      <c r="L98" s="419">
        <f>SUMIFS(SX!AC$2:AC$19,SX!$B$2:$B$19,'chia CN SX'!$C98)</f>
        <v>0</v>
      </c>
      <c r="M98" s="419">
        <f>SUMIFS(SX!AD$2:AD$19,SX!$B$2:$B$19,'chia CN SX'!$C98)</f>
        <v>0</v>
      </c>
      <c r="N98" s="419">
        <f>SUMIFS(SX!AE$2:AE$19,SX!$B$2:$B$19,'chia CN SX'!$C98)</f>
        <v>0</v>
      </c>
      <c r="O98" s="419">
        <f>SUMIFS(SX!AF$2:AF$19,SX!$B$2:$B$19,'chia CN SX'!$C98)</f>
        <v>0</v>
      </c>
      <c r="P98" s="419">
        <f>SUMIFS(SX!AG$2:AG$19,SX!$B$2:$B$19,'chia CN SX'!$C98)</f>
        <v>0</v>
      </c>
      <c r="Q98" s="419">
        <f>SUMIFS(SX!AH$2:AH$19,SX!$B$2:$B$19,'chia CN SX'!$C98)</f>
        <v>0</v>
      </c>
      <c r="R98" s="419">
        <f>SUMIFS(SX!AI$2:AI$19,SX!$B$2:$B$19,'chia CN SX'!$C98)</f>
        <v>0</v>
      </c>
      <c r="S98" s="419">
        <f>SUMIFS(SX!AJ$2:AJ$19,SX!$B$2:$B$19,'chia CN SX'!$C98)</f>
        <v>0</v>
      </c>
    </row>
    <row r="99" spans="1:19" x14ac:dyDescent="0.25">
      <c r="A99" s="421">
        <f t="shared" si="51"/>
        <v>97</v>
      </c>
      <c r="B99" s="331"/>
      <c r="C99" s="35"/>
      <c r="D99" s="419">
        <f>SUMIFS(SX!U$2:U$19,SX!$B$2:$B$19,'chia CN SX'!$C99)</f>
        <v>0</v>
      </c>
      <c r="E99" s="419">
        <f>SUMIFS(SX!V$2:V$19,SX!$B$2:$B$19,'chia CN SX'!$C99)</f>
        <v>0</v>
      </c>
      <c r="F99" s="419">
        <f>SUMIFS(SX!W$2:W$19,SX!$B$2:$B$19,'chia CN SX'!$C99)</f>
        <v>0</v>
      </c>
      <c r="G99" s="419">
        <f>SUMIFS(SX!X$2:X$19,SX!$B$2:$B$19,'chia CN SX'!$C99)</f>
        <v>0</v>
      </c>
      <c r="H99" s="419">
        <f>SUMIFS(SX!Y$2:Y$19,SX!$B$2:$B$19,'chia CN SX'!$C99)</f>
        <v>0</v>
      </c>
      <c r="I99" s="419">
        <f>SUMIFS(SX!Z$2:Z$19,SX!$B$2:$B$19,'chia CN SX'!$C99)</f>
        <v>0</v>
      </c>
      <c r="J99" s="419">
        <f>SUMIFS(SX!AA$2:AA$19,SX!$B$2:$B$19,'chia CN SX'!$C99)</f>
        <v>0</v>
      </c>
      <c r="K99" s="419">
        <f>SUMIFS(SX!AB$2:AB$19,SX!$B$2:$B$19,'chia CN SX'!$C99)</f>
        <v>0</v>
      </c>
      <c r="L99" s="419">
        <f>SUMIFS(SX!AC$2:AC$19,SX!$B$2:$B$19,'chia CN SX'!$C99)</f>
        <v>0</v>
      </c>
      <c r="M99" s="419">
        <f>SUMIFS(SX!AD$2:AD$19,SX!$B$2:$B$19,'chia CN SX'!$C99)</f>
        <v>0</v>
      </c>
      <c r="N99" s="419">
        <f>SUMIFS(SX!AE$2:AE$19,SX!$B$2:$B$19,'chia CN SX'!$C99)</f>
        <v>0</v>
      </c>
      <c r="O99" s="419">
        <f>SUMIFS(SX!AF$2:AF$19,SX!$B$2:$B$19,'chia CN SX'!$C99)</f>
        <v>0</v>
      </c>
      <c r="P99" s="419">
        <f>SUMIFS(SX!AG$2:AG$19,SX!$B$2:$B$19,'chia CN SX'!$C99)</f>
        <v>0</v>
      </c>
      <c r="Q99" s="419">
        <f>SUMIFS(SX!AH$2:AH$19,SX!$B$2:$B$19,'chia CN SX'!$C99)</f>
        <v>0</v>
      </c>
      <c r="R99" s="419">
        <f>SUMIFS(SX!AI$2:AI$19,SX!$B$2:$B$19,'chia CN SX'!$C99)</f>
        <v>0</v>
      </c>
      <c r="S99" s="419">
        <f>SUMIFS(SX!AJ$2:AJ$19,SX!$B$2:$B$19,'chia CN SX'!$C99)</f>
        <v>0</v>
      </c>
    </row>
    <row r="100" spans="1:19" x14ac:dyDescent="0.25">
      <c r="A100" s="421">
        <f t="shared" si="51"/>
        <v>98</v>
      </c>
      <c r="B100" s="331"/>
      <c r="C100" s="35"/>
      <c r="D100" s="419">
        <f>SUMIFS(SX!U$2:U$19,SX!$B$2:$B$19,'chia CN SX'!$C100)</f>
        <v>0</v>
      </c>
      <c r="E100" s="419">
        <f>SUMIFS(SX!V$2:V$19,SX!$B$2:$B$19,'chia CN SX'!$C100)</f>
        <v>0</v>
      </c>
      <c r="F100" s="419">
        <f>SUMIFS(SX!W$2:W$19,SX!$B$2:$B$19,'chia CN SX'!$C100)</f>
        <v>0</v>
      </c>
      <c r="G100" s="419">
        <f>SUMIFS(SX!X$2:X$19,SX!$B$2:$B$19,'chia CN SX'!$C100)</f>
        <v>0</v>
      </c>
      <c r="H100" s="419">
        <f>SUMIFS(SX!Y$2:Y$19,SX!$B$2:$B$19,'chia CN SX'!$C100)</f>
        <v>0</v>
      </c>
      <c r="I100" s="419">
        <f>SUMIFS(SX!Z$2:Z$19,SX!$B$2:$B$19,'chia CN SX'!$C100)</f>
        <v>0</v>
      </c>
      <c r="J100" s="419">
        <f>SUMIFS(SX!AA$2:AA$19,SX!$B$2:$B$19,'chia CN SX'!$C100)</f>
        <v>0</v>
      </c>
      <c r="K100" s="419">
        <f>SUMIFS(SX!AB$2:AB$19,SX!$B$2:$B$19,'chia CN SX'!$C100)</f>
        <v>0</v>
      </c>
      <c r="L100" s="419">
        <f>SUMIFS(SX!AC$2:AC$19,SX!$B$2:$B$19,'chia CN SX'!$C100)</f>
        <v>0</v>
      </c>
      <c r="M100" s="419">
        <f>SUMIFS(SX!AD$2:AD$19,SX!$B$2:$B$19,'chia CN SX'!$C100)</f>
        <v>0</v>
      </c>
      <c r="N100" s="419">
        <f>SUMIFS(SX!AE$2:AE$19,SX!$B$2:$B$19,'chia CN SX'!$C100)</f>
        <v>0</v>
      </c>
      <c r="O100" s="419">
        <f>SUMIFS(SX!AF$2:AF$19,SX!$B$2:$B$19,'chia CN SX'!$C100)</f>
        <v>0</v>
      </c>
      <c r="P100" s="419">
        <f>SUMIFS(SX!AG$2:AG$19,SX!$B$2:$B$19,'chia CN SX'!$C100)</f>
        <v>0</v>
      </c>
      <c r="Q100" s="419">
        <f>SUMIFS(SX!AH$2:AH$19,SX!$B$2:$B$19,'chia CN SX'!$C100)</f>
        <v>0</v>
      </c>
      <c r="R100" s="419">
        <f>SUMIFS(SX!AI$2:AI$19,SX!$B$2:$B$19,'chia CN SX'!$C100)</f>
        <v>0</v>
      </c>
      <c r="S100" s="419">
        <f>SUMIFS(SX!AJ$2:AJ$19,SX!$B$2:$B$19,'chia CN SX'!$C100)</f>
        <v>0</v>
      </c>
    </row>
    <row r="101" spans="1:19" x14ac:dyDescent="0.25">
      <c r="A101" s="421">
        <f t="shared" si="51"/>
        <v>99</v>
      </c>
      <c r="B101" s="331"/>
      <c r="C101" s="35"/>
      <c r="D101" s="419">
        <f>SUMIFS(SX!U$2:U$19,SX!$B$2:$B$19,'chia CN SX'!$C101)</f>
        <v>0</v>
      </c>
      <c r="E101" s="419">
        <f>SUMIFS(SX!V$2:V$19,SX!$B$2:$B$19,'chia CN SX'!$C101)</f>
        <v>0</v>
      </c>
      <c r="F101" s="419">
        <f>SUMIFS(SX!W$2:W$19,SX!$B$2:$B$19,'chia CN SX'!$C101)</f>
        <v>0</v>
      </c>
      <c r="G101" s="419">
        <f>SUMIFS(SX!X$2:X$19,SX!$B$2:$B$19,'chia CN SX'!$C101)</f>
        <v>0</v>
      </c>
      <c r="H101" s="419">
        <f>SUMIFS(SX!Y$2:Y$19,SX!$B$2:$B$19,'chia CN SX'!$C101)</f>
        <v>0</v>
      </c>
      <c r="I101" s="419">
        <f>SUMIFS(SX!Z$2:Z$19,SX!$B$2:$B$19,'chia CN SX'!$C101)</f>
        <v>0</v>
      </c>
      <c r="J101" s="419">
        <f>SUMIFS(SX!AA$2:AA$19,SX!$B$2:$B$19,'chia CN SX'!$C101)</f>
        <v>0</v>
      </c>
      <c r="K101" s="419">
        <f>SUMIFS(SX!AB$2:AB$19,SX!$B$2:$B$19,'chia CN SX'!$C101)</f>
        <v>0</v>
      </c>
      <c r="L101" s="419">
        <f>SUMIFS(SX!AC$2:AC$19,SX!$B$2:$B$19,'chia CN SX'!$C101)</f>
        <v>0</v>
      </c>
      <c r="M101" s="419">
        <f>SUMIFS(SX!AD$2:AD$19,SX!$B$2:$B$19,'chia CN SX'!$C101)</f>
        <v>0</v>
      </c>
      <c r="N101" s="419">
        <f>SUMIFS(SX!AE$2:AE$19,SX!$B$2:$B$19,'chia CN SX'!$C101)</f>
        <v>0</v>
      </c>
      <c r="O101" s="419">
        <f>SUMIFS(SX!AF$2:AF$19,SX!$B$2:$B$19,'chia CN SX'!$C101)</f>
        <v>0</v>
      </c>
      <c r="P101" s="419">
        <f>SUMIFS(SX!AG$2:AG$19,SX!$B$2:$B$19,'chia CN SX'!$C101)</f>
        <v>0</v>
      </c>
      <c r="Q101" s="419">
        <f>SUMIFS(SX!AH$2:AH$19,SX!$B$2:$B$19,'chia CN SX'!$C101)</f>
        <v>0</v>
      </c>
      <c r="R101" s="419">
        <f>SUMIFS(SX!AI$2:AI$19,SX!$B$2:$B$19,'chia CN SX'!$C101)</f>
        <v>0</v>
      </c>
      <c r="S101" s="419">
        <f>SUMIFS(SX!AJ$2:AJ$19,SX!$B$2:$B$19,'chia CN SX'!$C101)</f>
        <v>0</v>
      </c>
    </row>
    <row r="102" spans="1:19" x14ac:dyDescent="0.25">
      <c r="A102" s="421">
        <f t="shared" si="51"/>
        <v>100</v>
      </c>
      <c r="B102" s="331"/>
      <c r="C102" s="35"/>
      <c r="D102" s="419">
        <f>SUMIFS(SX!U$2:U$19,SX!$B$2:$B$19,'chia CN SX'!$C102)</f>
        <v>0</v>
      </c>
      <c r="E102" s="419">
        <f>SUMIFS(SX!V$2:V$19,SX!$B$2:$B$19,'chia CN SX'!$C102)</f>
        <v>0</v>
      </c>
      <c r="F102" s="419">
        <f>SUMIFS(SX!W$2:W$19,SX!$B$2:$B$19,'chia CN SX'!$C102)</f>
        <v>0</v>
      </c>
      <c r="G102" s="419">
        <f>SUMIFS(SX!X$2:X$19,SX!$B$2:$B$19,'chia CN SX'!$C102)</f>
        <v>0</v>
      </c>
      <c r="H102" s="419">
        <f>SUMIFS(SX!Y$2:Y$19,SX!$B$2:$B$19,'chia CN SX'!$C102)</f>
        <v>0</v>
      </c>
      <c r="I102" s="419">
        <f>SUMIFS(SX!Z$2:Z$19,SX!$B$2:$B$19,'chia CN SX'!$C102)</f>
        <v>0</v>
      </c>
      <c r="J102" s="419">
        <f>SUMIFS(SX!AA$2:AA$19,SX!$B$2:$B$19,'chia CN SX'!$C102)</f>
        <v>0</v>
      </c>
      <c r="K102" s="419">
        <f>SUMIFS(SX!AB$2:AB$19,SX!$B$2:$B$19,'chia CN SX'!$C102)</f>
        <v>0</v>
      </c>
      <c r="L102" s="419">
        <f>SUMIFS(SX!AC$2:AC$19,SX!$B$2:$B$19,'chia CN SX'!$C102)</f>
        <v>0</v>
      </c>
      <c r="M102" s="419">
        <f>SUMIFS(SX!AD$2:AD$19,SX!$B$2:$B$19,'chia CN SX'!$C102)</f>
        <v>0</v>
      </c>
      <c r="N102" s="419">
        <f>SUMIFS(SX!AE$2:AE$19,SX!$B$2:$B$19,'chia CN SX'!$C102)</f>
        <v>0</v>
      </c>
      <c r="O102" s="419">
        <f>SUMIFS(SX!AF$2:AF$19,SX!$B$2:$B$19,'chia CN SX'!$C102)</f>
        <v>0</v>
      </c>
      <c r="P102" s="419">
        <f>SUMIFS(SX!AG$2:AG$19,SX!$B$2:$B$19,'chia CN SX'!$C102)</f>
        <v>0</v>
      </c>
      <c r="Q102" s="419">
        <f>SUMIFS(SX!AH$2:AH$19,SX!$B$2:$B$19,'chia CN SX'!$C102)</f>
        <v>0</v>
      </c>
      <c r="R102" s="419">
        <f>SUMIFS(SX!AI$2:AI$19,SX!$B$2:$B$19,'chia CN SX'!$C102)</f>
        <v>0</v>
      </c>
      <c r="S102" s="419">
        <f>SUMIFS(SX!AJ$2:AJ$19,SX!$B$2:$B$19,'chia CN SX'!$C102)</f>
        <v>0</v>
      </c>
    </row>
    <row r="103" spans="1:19" x14ac:dyDescent="0.25">
      <c r="A103" s="421">
        <f t="shared" si="51"/>
        <v>101</v>
      </c>
      <c r="B103" s="331"/>
      <c r="C103" s="35"/>
      <c r="D103" s="419">
        <f>SUMIFS(SX!U$2:U$19,SX!$B$2:$B$19,'chia CN SX'!$C103)</f>
        <v>0</v>
      </c>
      <c r="E103" s="419">
        <f>SUMIFS(SX!V$2:V$19,SX!$B$2:$B$19,'chia CN SX'!$C103)</f>
        <v>0</v>
      </c>
      <c r="F103" s="419">
        <f>SUMIFS(SX!W$2:W$19,SX!$B$2:$B$19,'chia CN SX'!$C103)</f>
        <v>0</v>
      </c>
      <c r="G103" s="419">
        <f>SUMIFS(SX!X$2:X$19,SX!$B$2:$B$19,'chia CN SX'!$C103)</f>
        <v>0</v>
      </c>
      <c r="H103" s="419">
        <f>SUMIFS(SX!Y$2:Y$19,SX!$B$2:$B$19,'chia CN SX'!$C103)</f>
        <v>0</v>
      </c>
      <c r="I103" s="419">
        <f>SUMIFS(SX!Z$2:Z$19,SX!$B$2:$B$19,'chia CN SX'!$C103)</f>
        <v>0</v>
      </c>
      <c r="J103" s="419">
        <f>SUMIFS(SX!AA$2:AA$19,SX!$B$2:$B$19,'chia CN SX'!$C103)</f>
        <v>0</v>
      </c>
      <c r="K103" s="419">
        <f>SUMIFS(SX!AB$2:AB$19,SX!$B$2:$B$19,'chia CN SX'!$C103)</f>
        <v>0</v>
      </c>
      <c r="L103" s="419">
        <f>SUMIFS(SX!AC$2:AC$19,SX!$B$2:$B$19,'chia CN SX'!$C103)</f>
        <v>0</v>
      </c>
      <c r="M103" s="419">
        <f>SUMIFS(SX!AD$2:AD$19,SX!$B$2:$B$19,'chia CN SX'!$C103)</f>
        <v>0</v>
      </c>
      <c r="N103" s="419">
        <f>SUMIFS(SX!AE$2:AE$19,SX!$B$2:$B$19,'chia CN SX'!$C103)</f>
        <v>0</v>
      </c>
      <c r="O103" s="419">
        <f>SUMIFS(SX!AF$2:AF$19,SX!$B$2:$B$19,'chia CN SX'!$C103)</f>
        <v>0</v>
      </c>
      <c r="P103" s="419">
        <f>SUMIFS(SX!AG$2:AG$19,SX!$B$2:$B$19,'chia CN SX'!$C103)</f>
        <v>0</v>
      </c>
      <c r="Q103" s="419">
        <f>SUMIFS(SX!AH$2:AH$19,SX!$B$2:$B$19,'chia CN SX'!$C103)</f>
        <v>0</v>
      </c>
      <c r="R103" s="419">
        <f>SUMIFS(SX!AI$2:AI$19,SX!$B$2:$B$19,'chia CN SX'!$C103)</f>
        <v>0</v>
      </c>
      <c r="S103" s="419">
        <f>SUMIFS(SX!AJ$2:AJ$19,SX!$B$2:$B$19,'chia CN SX'!$C103)</f>
        <v>0</v>
      </c>
    </row>
    <row r="104" spans="1:19" x14ac:dyDescent="0.25">
      <c r="A104" s="421">
        <f t="shared" si="51"/>
        <v>102</v>
      </c>
      <c r="B104" s="331"/>
      <c r="C104" s="35"/>
      <c r="D104" s="419">
        <f>SUMIFS(SX!U$2:U$19,SX!$B$2:$B$19,'chia CN SX'!$C104)</f>
        <v>0</v>
      </c>
      <c r="E104" s="419">
        <f>SUMIFS(SX!V$2:V$19,SX!$B$2:$B$19,'chia CN SX'!$C104)</f>
        <v>0</v>
      </c>
      <c r="F104" s="419">
        <f>SUMIFS(SX!W$2:W$19,SX!$B$2:$B$19,'chia CN SX'!$C104)</f>
        <v>0</v>
      </c>
      <c r="G104" s="419">
        <f>SUMIFS(SX!X$2:X$19,SX!$B$2:$B$19,'chia CN SX'!$C104)</f>
        <v>0</v>
      </c>
      <c r="H104" s="419">
        <f>SUMIFS(SX!Y$2:Y$19,SX!$B$2:$B$19,'chia CN SX'!$C104)</f>
        <v>0</v>
      </c>
      <c r="I104" s="419">
        <f>SUMIFS(SX!Z$2:Z$19,SX!$B$2:$B$19,'chia CN SX'!$C104)</f>
        <v>0</v>
      </c>
      <c r="J104" s="419">
        <f>SUMIFS(SX!AA$2:AA$19,SX!$B$2:$B$19,'chia CN SX'!$C104)</f>
        <v>0</v>
      </c>
      <c r="K104" s="419">
        <f>SUMIFS(SX!AB$2:AB$19,SX!$B$2:$B$19,'chia CN SX'!$C104)</f>
        <v>0</v>
      </c>
      <c r="L104" s="419">
        <f>SUMIFS(SX!AC$2:AC$19,SX!$B$2:$B$19,'chia CN SX'!$C104)</f>
        <v>0</v>
      </c>
      <c r="M104" s="419">
        <f>SUMIFS(SX!AD$2:AD$19,SX!$B$2:$B$19,'chia CN SX'!$C104)</f>
        <v>0</v>
      </c>
      <c r="N104" s="419">
        <f>SUMIFS(SX!AE$2:AE$19,SX!$B$2:$B$19,'chia CN SX'!$C104)</f>
        <v>0</v>
      </c>
      <c r="O104" s="419">
        <f>SUMIFS(SX!AF$2:AF$19,SX!$B$2:$B$19,'chia CN SX'!$C104)</f>
        <v>0</v>
      </c>
      <c r="P104" s="419">
        <f>SUMIFS(SX!AG$2:AG$19,SX!$B$2:$B$19,'chia CN SX'!$C104)</f>
        <v>0</v>
      </c>
      <c r="Q104" s="419">
        <f>SUMIFS(SX!AH$2:AH$19,SX!$B$2:$B$19,'chia CN SX'!$C104)</f>
        <v>0</v>
      </c>
      <c r="R104" s="419">
        <f>SUMIFS(SX!AI$2:AI$19,SX!$B$2:$B$19,'chia CN SX'!$C104)</f>
        <v>0</v>
      </c>
      <c r="S104" s="419">
        <f>SUMIFS(SX!AJ$2:AJ$19,SX!$B$2:$B$19,'chia CN SX'!$C104)</f>
        <v>0</v>
      </c>
    </row>
    <row r="105" spans="1:19" x14ac:dyDescent="0.25">
      <c r="A105" s="421">
        <f t="shared" si="51"/>
        <v>103</v>
      </c>
      <c r="B105" s="331"/>
      <c r="C105" s="35"/>
      <c r="D105" s="419">
        <f>SUMIFS(SX!U$2:U$19,SX!$B$2:$B$19,'chia CN SX'!$C105)</f>
        <v>0</v>
      </c>
      <c r="E105" s="419">
        <f>SUMIFS(SX!V$2:V$19,SX!$B$2:$B$19,'chia CN SX'!$C105)</f>
        <v>0</v>
      </c>
      <c r="F105" s="419">
        <f>SUMIFS(SX!W$2:W$19,SX!$B$2:$B$19,'chia CN SX'!$C105)</f>
        <v>0</v>
      </c>
      <c r="G105" s="419">
        <f>SUMIFS(SX!X$2:X$19,SX!$B$2:$B$19,'chia CN SX'!$C105)</f>
        <v>0</v>
      </c>
      <c r="H105" s="419">
        <f>SUMIFS(SX!Y$2:Y$19,SX!$B$2:$B$19,'chia CN SX'!$C105)</f>
        <v>0</v>
      </c>
      <c r="I105" s="419">
        <f>SUMIFS(SX!Z$2:Z$19,SX!$B$2:$B$19,'chia CN SX'!$C105)</f>
        <v>0</v>
      </c>
      <c r="J105" s="419">
        <f>SUMIFS(SX!AA$2:AA$19,SX!$B$2:$B$19,'chia CN SX'!$C105)</f>
        <v>0</v>
      </c>
      <c r="K105" s="419">
        <f>SUMIFS(SX!AB$2:AB$19,SX!$B$2:$B$19,'chia CN SX'!$C105)</f>
        <v>0</v>
      </c>
      <c r="L105" s="419">
        <f>SUMIFS(SX!AC$2:AC$19,SX!$B$2:$B$19,'chia CN SX'!$C105)</f>
        <v>0</v>
      </c>
      <c r="M105" s="419">
        <f>SUMIFS(SX!AD$2:AD$19,SX!$B$2:$B$19,'chia CN SX'!$C105)</f>
        <v>0</v>
      </c>
      <c r="N105" s="419">
        <f>SUMIFS(SX!AE$2:AE$19,SX!$B$2:$B$19,'chia CN SX'!$C105)</f>
        <v>0</v>
      </c>
      <c r="O105" s="419">
        <f>SUMIFS(SX!AF$2:AF$19,SX!$B$2:$B$19,'chia CN SX'!$C105)</f>
        <v>0</v>
      </c>
      <c r="P105" s="419">
        <f>SUMIFS(SX!AG$2:AG$19,SX!$B$2:$B$19,'chia CN SX'!$C105)</f>
        <v>0</v>
      </c>
      <c r="Q105" s="419">
        <f>SUMIFS(SX!AH$2:AH$19,SX!$B$2:$B$19,'chia CN SX'!$C105)</f>
        <v>0</v>
      </c>
      <c r="R105" s="419">
        <f>SUMIFS(SX!AI$2:AI$19,SX!$B$2:$B$19,'chia CN SX'!$C105)</f>
        <v>0</v>
      </c>
      <c r="S105" s="419">
        <f>SUMIFS(SX!AJ$2:AJ$19,SX!$B$2:$B$19,'chia CN SX'!$C105)</f>
        <v>0</v>
      </c>
    </row>
    <row r="106" spans="1:19" x14ac:dyDescent="0.25">
      <c r="A106" s="421">
        <f t="shared" si="51"/>
        <v>104</v>
      </c>
      <c r="B106" s="331"/>
      <c r="C106" s="35"/>
      <c r="D106" s="419">
        <f>SUMIFS(SX!U$2:U$19,SX!$B$2:$B$19,'chia CN SX'!$C106)</f>
        <v>0</v>
      </c>
      <c r="E106" s="419">
        <f>SUMIFS(SX!V$2:V$19,SX!$B$2:$B$19,'chia CN SX'!$C106)</f>
        <v>0</v>
      </c>
      <c r="F106" s="419">
        <f>SUMIFS(SX!W$2:W$19,SX!$B$2:$B$19,'chia CN SX'!$C106)</f>
        <v>0</v>
      </c>
      <c r="G106" s="419">
        <f>SUMIFS(SX!X$2:X$19,SX!$B$2:$B$19,'chia CN SX'!$C106)</f>
        <v>0</v>
      </c>
      <c r="H106" s="419">
        <f>SUMIFS(SX!Y$2:Y$19,SX!$B$2:$B$19,'chia CN SX'!$C106)</f>
        <v>0</v>
      </c>
      <c r="I106" s="419">
        <f>SUMIFS(SX!Z$2:Z$19,SX!$B$2:$B$19,'chia CN SX'!$C106)</f>
        <v>0</v>
      </c>
      <c r="J106" s="419">
        <f>SUMIFS(SX!AA$2:AA$19,SX!$B$2:$B$19,'chia CN SX'!$C106)</f>
        <v>0</v>
      </c>
      <c r="K106" s="419">
        <f>SUMIFS(SX!AB$2:AB$19,SX!$B$2:$B$19,'chia CN SX'!$C106)</f>
        <v>0</v>
      </c>
      <c r="L106" s="419">
        <f>SUMIFS(SX!AC$2:AC$19,SX!$B$2:$B$19,'chia CN SX'!$C106)</f>
        <v>0</v>
      </c>
      <c r="M106" s="419">
        <f>SUMIFS(SX!AD$2:AD$19,SX!$B$2:$B$19,'chia CN SX'!$C106)</f>
        <v>0</v>
      </c>
      <c r="N106" s="419">
        <f>SUMIFS(SX!AE$2:AE$19,SX!$B$2:$B$19,'chia CN SX'!$C106)</f>
        <v>0</v>
      </c>
      <c r="O106" s="419">
        <f>SUMIFS(SX!AF$2:AF$19,SX!$B$2:$B$19,'chia CN SX'!$C106)</f>
        <v>0</v>
      </c>
      <c r="P106" s="419">
        <f>SUMIFS(SX!AG$2:AG$19,SX!$B$2:$B$19,'chia CN SX'!$C106)</f>
        <v>0</v>
      </c>
      <c r="Q106" s="419">
        <f>SUMIFS(SX!AH$2:AH$19,SX!$B$2:$B$19,'chia CN SX'!$C106)</f>
        <v>0</v>
      </c>
      <c r="R106" s="419">
        <f>SUMIFS(SX!AI$2:AI$19,SX!$B$2:$B$19,'chia CN SX'!$C106)</f>
        <v>0</v>
      </c>
      <c r="S106" s="419">
        <f>SUMIFS(SX!AJ$2:AJ$19,SX!$B$2:$B$19,'chia CN SX'!$C106)</f>
        <v>0</v>
      </c>
    </row>
    <row r="107" spans="1:19" x14ac:dyDescent="0.25">
      <c r="A107" s="421">
        <f t="shared" si="51"/>
        <v>105</v>
      </c>
      <c r="B107" s="331"/>
      <c r="C107" s="35"/>
      <c r="D107" s="419">
        <f>SUMIFS(SX!U$2:U$19,SX!$B$2:$B$19,'chia CN SX'!$C107)</f>
        <v>0</v>
      </c>
      <c r="E107" s="419">
        <f>SUMIFS(SX!V$2:V$19,SX!$B$2:$B$19,'chia CN SX'!$C107)</f>
        <v>0</v>
      </c>
      <c r="F107" s="419">
        <f>SUMIFS(SX!W$2:W$19,SX!$B$2:$B$19,'chia CN SX'!$C107)</f>
        <v>0</v>
      </c>
      <c r="G107" s="419">
        <f>SUMIFS(SX!X$2:X$19,SX!$B$2:$B$19,'chia CN SX'!$C107)</f>
        <v>0</v>
      </c>
      <c r="H107" s="419">
        <f>SUMIFS(SX!Y$2:Y$19,SX!$B$2:$B$19,'chia CN SX'!$C107)</f>
        <v>0</v>
      </c>
      <c r="I107" s="419">
        <f>SUMIFS(SX!Z$2:Z$19,SX!$B$2:$B$19,'chia CN SX'!$C107)</f>
        <v>0</v>
      </c>
      <c r="J107" s="419">
        <f>SUMIFS(SX!AA$2:AA$19,SX!$B$2:$B$19,'chia CN SX'!$C107)</f>
        <v>0</v>
      </c>
      <c r="K107" s="419">
        <f>SUMIFS(SX!AB$2:AB$19,SX!$B$2:$B$19,'chia CN SX'!$C107)</f>
        <v>0</v>
      </c>
      <c r="L107" s="419">
        <f>SUMIFS(SX!AC$2:AC$19,SX!$B$2:$B$19,'chia CN SX'!$C107)</f>
        <v>0</v>
      </c>
      <c r="M107" s="419">
        <f>SUMIFS(SX!AD$2:AD$19,SX!$B$2:$B$19,'chia CN SX'!$C107)</f>
        <v>0</v>
      </c>
      <c r="N107" s="419">
        <f>SUMIFS(SX!AE$2:AE$19,SX!$B$2:$B$19,'chia CN SX'!$C107)</f>
        <v>0</v>
      </c>
      <c r="O107" s="419">
        <f>SUMIFS(SX!AF$2:AF$19,SX!$B$2:$B$19,'chia CN SX'!$C107)</f>
        <v>0</v>
      </c>
      <c r="P107" s="419">
        <f>SUMIFS(SX!AG$2:AG$19,SX!$B$2:$B$19,'chia CN SX'!$C107)</f>
        <v>0</v>
      </c>
      <c r="Q107" s="419">
        <f>SUMIFS(SX!AH$2:AH$19,SX!$B$2:$B$19,'chia CN SX'!$C107)</f>
        <v>0</v>
      </c>
      <c r="R107" s="419">
        <f>SUMIFS(SX!AI$2:AI$19,SX!$B$2:$B$19,'chia CN SX'!$C107)</f>
        <v>0</v>
      </c>
      <c r="S107" s="419">
        <f>SUMIFS(SX!AJ$2:AJ$19,SX!$B$2:$B$19,'chia CN SX'!$C107)</f>
        <v>0</v>
      </c>
    </row>
    <row r="108" spans="1:19" x14ac:dyDescent="0.25">
      <c r="A108" s="421">
        <f t="shared" si="51"/>
        <v>106</v>
      </c>
      <c r="B108" s="331"/>
      <c r="C108" s="35"/>
      <c r="D108" s="419">
        <f>SUMIFS(SX!U$2:U$19,SX!$B$2:$B$19,'chia CN SX'!$C108)</f>
        <v>0</v>
      </c>
      <c r="E108" s="419">
        <f>SUMIFS(SX!V$2:V$19,SX!$B$2:$B$19,'chia CN SX'!$C108)</f>
        <v>0</v>
      </c>
      <c r="F108" s="419">
        <f>SUMIFS(SX!W$2:W$19,SX!$B$2:$B$19,'chia CN SX'!$C108)</f>
        <v>0</v>
      </c>
      <c r="G108" s="419">
        <f>SUMIFS(SX!X$2:X$19,SX!$B$2:$B$19,'chia CN SX'!$C108)</f>
        <v>0</v>
      </c>
      <c r="H108" s="419">
        <f>SUMIFS(SX!Y$2:Y$19,SX!$B$2:$B$19,'chia CN SX'!$C108)</f>
        <v>0</v>
      </c>
      <c r="I108" s="419">
        <f>SUMIFS(SX!Z$2:Z$19,SX!$B$2:$B$19,'chia CN SX'!$C108)</f>
        <v>0</v>
      </c>
      <c r="J108" s="419">
        <f>SUMIFS(SX!AA$2:AA$19,SX!$B$2:$B$19,'chia CN SX'!$C108)</f>
        <v>0</v>
      </c>
      <c r="K108" s="419">
        <f>SUMIFS(SX!AB$2:AB$19,SX!$B$2:$B$19,'chia CN SX'!$C108)</f>
        <v>0</v>
      </c>
      <c r="L108" s="419">
        <f>SUMIFS(SX!AC$2:AC$19,SX!$B$2:$B$19,'chia CN SX'!$C108)</f>
        <v>0</v>
      </c>
      <c r="M108" s="419">
        <f>SUMIFS(SX!AD$2:AD$19,SX!$B$2:$B$19,'chia CN SX'!$C108)</f>
        <v>0</v>
      </c>
      <c r="N108" s="419">
        <f>SUMIFS(SX!AE$2:AE$19,SX!$B$2:$B$19,'chia CN SX'!$C108)</f>
        <v>0</v>
      </c>
      <c r="O108" s="419">
        <f>SUMIFS(SX!AF$2:AF$19,SX!$B$2:$B$19,'chia CN SX'!$C108)</f>
        <v>0</v>
      </c>
      <c r="P108" s="419">
        <f>SUMIFS(SX!AG$2:AG$19,SX!$B$2:$B$19,'chia CN SX'!$C108)</f>
        <v>0</v>
      </c>
      <c r="Q108" s="419">
        <f>SUMIFS(SX!AH$2:AH$19,SX!$B$2:$B$19,'chia CN SX'!$C108)</f>
        <v>0</v>
      </c>
      <c r="R108" s="419">
        <f>SUMIFS(SX!AI$2:AI$19,SX!$B$2:$B$19,'chia CN SX'!$C108)</f>
        <v>0</v>
      </c>
      <c r="S108" s="419">
        <f>SUMIFS(SX!AJ$2:AJ$19,SX!$B$2:$B$19,'chia CN SX'!$C108)</f>
        <v>0</v>
      </c>
    </row>
    <row r="109" spans="1:19" x14ac:dyDescent="0.25">
      <c r="A109" s="421">
        <f t="shared" si="51"/>
        <v>107</v>
      </c>
      <c r="B109" s="331"/>
      <c r="C109" s="35"/>
      <c r="D109" s="419">
        <f>SUMIFS(SX!U$2:U$19,SX!$B$2:$B$19,'chia CN SX'!$C109)</f>
        <v>0</v>
      </c>
      <c r="E109" s="419">
        <f>SUMIFS(SX!V$2:V$19,SX!$B$2:$B$19,'chia CN SX'!$C109)</f>
        <v>0</v>
      </c>
      <c r="F109" s="419">
        <f>SUMIFS(SX!W$2:W$19,SX!$B$2:$B$19,'chia CN SX'!$C109)</f>
        <v>0</v>
      </c>
      <c r="G109" s="419">
        <f>SUMIFS(SX!X$2:X$19,SX!$B$2:$B$19,'chia CN SX'!$C109)</f>
        <v>0</v>
      </c>
      <c r="H109" s="419">
        <f>SUMIFS(SX!Y$2:Y$19,SX!$B$2:$B$19,'chia CN SX'!$C109)</f>
        <v>0</v>
      </c>
      <c r="I109" s="419">
        <f>SUMIFS(SX!Z$2:Z$19,SX!$B$2:$B$19,'chia CN SX'!$C109)</f>
        <v>0</v>
      </c>
      <c r="J109" s="419">
        <f>SUMIFS(SX!AA$2:AA$19,SX!$B$2:$B$19,'chia CN SX'!$C109)</f>
        <v>0</v>
      </c>
      <c r="K109" s="419">
        <f>SUMIFS(SX!AB$2:AB$19,SX!$B$2:$B$19,'chia CN SX'!$C109)</f>
        <v>0</v>
      </c>
      <c r="L109" s="419">
        <f>SUMIFS(SX!AC$2:AC$19,SX!$B$2:$B$19,'chia CN SX'!$C109)</f>
        <v>0</v>
      </c>
      <c r="M109" s="419">
        <f>SUMIFS(SX!AD$2:AD$19,SX!$B$2:$B$19,'chia CN SX'!$C109)</f>
        <v>0</v>
      </c>
      <c r="N109" s="419">
        <f>SUMIFS(SX!AE$2:AE$19,SX!$B$2:$B$19,'chia CN SX'!$C109)</f>
        <v>0</v>
      </c>
      <c r="O109" s="419">
        <f>SUMIFS(SX!AF$2:AF$19,SX!$B$2:$B$19,'chia CN SX'!$C109)</f>
        <v>0</v>
      </c>
      <c r="P109" s="419">
        <f>SUMIFS(SX!AG$2:AG$19,SX!$B$2:$B$19,'chia CN SX'!$C109)</f>
        <v>0</v>
      </c>
      <c r="Q109" s="419">
        <f>SUMIFS(SX!AH$2:AH$19,SX!$B$2:$B$19,'chia CN SX'!$C109)</f>
        <v>0</v>
      </c>
      <c r="R109" s="419">
        <f>SUMIFS(SX!AI$2:AI$19,SX!$B$2:$B$19,'chia CN SX'!$C109)</f>
        <v>0</v>
      </c>
      <c r="S109" s="419">
        <f>SUMIFS(SX!AJ$2:AJ$19,SX!$B$2:$B$19,'chia CN SX'!$C109)</f>
        <v>0</v>
      </c>
    </row>
    <row r="110" spans="1:19" x14ac:dyDescent="0.25">
      <c r="A110" s="421">
        <f t="shared" si="51"/>
        <v>108</v>
      </c>
      <c r="B110" s="331"/>
      <c r="C110" s="35"/>
      <c r="D110" s="419">
        <f>SUMIFS(SX!U$2:U$19,SX!$B$2:$B$19,'chia CN SX'!$C110)</f>
        <v>0</v>
      </c>
      <c r="E110" s="419">
        <f>SUMIFS(SX!V$2:V$19,SX!$B$2:$B$19,'chia CN SX'!$C110)</f>
        <v>0</v>
      </c>
      <c r="F110" s="419">
        <f>SUMIFS(SX!W$2:W$19,SX!$B$2:$B$19,'chia CN SX'!$C110)</f>
        <v>0</v>
      </c>
      <c r="G110" s="419">
        <f>SUMIFS(SX!X$2:X$19,SX!$B$2:$B$19,'chia CN SX'!$C110)</f>
        <v>0</v>
      </c>
      <c r="H110" s="419">
        <f>SUMIFS(SX!Y$2:Y$19,SX!$B$2:$B$19,'chia CN SX'!$C110)</f>
        <v>0</v>
      </c>
      <c r="I110" s="419">
        <f>SUMIFS(SX!Z$2:Z$19,SX!$B$2:$B$19,'chia CN SX'!$C110)</f>
        <v>0</v>
      </c>
      <c r="J110" s="419">
        <f>SUMIFS(SX!AA$2:AA$19,SX!$B$2:$B$19,'chia CN SX'!$C110)</f>
        <v>0</v>
      </c>
      <c r="K110" s="419">
        <f>SUMIFS(SX!AB$2:AB$19,SX!$B$2:$B$19,'chia CN SX'!$C110)</f>
        <v>0</v>
      </c>
      <c r="L110" s="419">
        <f>SUMIFS(SX!AC$2:AC$19,SX!$B$2:$B$19,'chia CN SX'!$C110)</f>
        <v>0</v>
      </c>
      <c r="M110" s="419">
        <f>SUMIFS(SX!AD$2:AD$19,SX!$B$2:$B$19,'chia CN SX'!$C110)</f>
        <v>0</v>
      </c>
      <c r="N110" s="419">
        <f>SUMIFS(SX!AE$2:AE$19,SX!$B$2:$B$19,'chia CN SX'!$C110)</f>
        <v>0</v>
      </c>
      <c r="O110" s="419">
        <f>SUMIFS(SX!AF$2:AF$19,SX!$B$2:$B$19,'chia CN SX'!$C110)</f>
        <v>0</v>
      </c>
      <c r="P110" s="419">
        <f>SUMIFS(SX!AG$2:AG$19,SX!$B$2:$B$19,'chia CN SX'!$C110)</f>
        <v>0</v>
      </c>
      <c r="Q110" s="419">
        <f>SUMIFS(SX!AH$2:AH$19,SX!$B$2:$B$19,'chia CN SX'!$C110)</f>
        <v>0</v>
      </c>
      <c r="R110" s="419">
        <f>SUMIFS(SX!AI$2:AI$19,SX!$B$2:$B$19,'chia CN SX'!$C110)</f>
        <v>0</v>
      </c>
      <c r="S110" s="419">
        <f>SUMIFS(SX!AJ$2:AJ$19,SX!$B$2:$B$19,'chia CN SX'!$C110)</f>
        <v>0</v>
      </c>
    </row>
    <row r="111" spans="1:19" x14ac:dyDescent="0.25">
      <c r="A111" s="421">
        <f t="shared" si="51"/>
        <v>109</v>
      </c>
      <c r="B111" s="331"/>
      <c r="C111" s="35"/>
      <c r="D111" s="419">
        <f>SUMIFS(SX!U$2:U$19,SX!$B$2:$B$19,'chia CN SX'!$C111)</f>
        <v>0</v>
      </c>
      <c r="E111" s="419">
        <f>SUMIFS(SX!V$2:V$19,SX!$B$2:$B$19,'chia CN SX'!$C111)</f>
        <v>0</v>
      </c>
      <c r="F111" s="419">
        <f>SUMIFS(SX!W$2:W$19,SX!$B$2:$B$19,'chia CN SX'!$C111)</f>
        <v>0</v>
      </c>
      <c r="G111" s="419">
        <f>SUMIFS(SX!X$2:X$19,SX!$B$2:$B$19,'chia CN SX'!$C111)</f>
        <v>0</v>
      </c>
      <c r="H111" s="419">
        <f>SUMIFS(SX!Y$2:Y$19,SX!$B$2:$B$19,'chia CN SX'!$C111)</f>
        <v>0</v>
      </c>
      <c r="I111" s="419">
        <f>SUMIFS(SX!Z$2:Z$19,SX!$B$2:$B$19,'chia CN SX'!$C111)</f>
        <v>0</v>
      </c>
      <c r="J111" s="419">
        <f>SUMIFS(SX!AA$2:AA$19,SX!$B$2:$B$19,'chia CN SX'!$C111)</f>
        <v>0</v>
      </c>
      <c r="K111" s="419">
        <f>SUMIFS(SX!AB$2:AB$19,SX!$B$2:$B$19,'chia CN SX'!$C111)</f>
        <v>0</v>
      </c>
      <c r="L111" s="419">
        <f>SUMIFS(SX!AC$2:AC$19,SX!$B$2:$B$19,'chia CN SX'!$C111)</f>
        <v>0</v>
      </c>
      <c r="M111" s="419">
        <f>SUMIFS(SX!AD$2:AD$19,SX!$B$2:$B$19,'chia CN SX'!$C111)</f>
        <v>0</v>
      </c>
      <c r="N111" s="419">
        <f>SUMIFS(SX!AE$2:AE$19,SX!$B$2:$B$19,'chia CN SX'!$C111)</f>
        <v>0</v>
      </c>
      <c r="O111" s="419">
        <f>SUMIFS(SX!AF$2:AF$19,SX!$B$2:$B$19,'chia CN SX'!$C111)</f>
        <v>0</v>
      </c>
      <c r="P111" s="419">
        <f>SUMIFS(SX!AG$2:AG$19,SX!$B$2:$B$19,'chia CN SX'!$C111)</f>
        <v>0</v>
      </c>
      <c r="Q111" s="419">
        <f>SUMIFS(SX!AH$2:AH$19,SX!$B$2:$B$19,'chia CN SX'!$C111)</f>
        <v>0</v>
      </c>
      <c r="R111" s="419">
        <f>SUMIFS(SX!AI$2:AI$19,SX!$B$2:$B$19,'chia CN SX'!$C111)</f>
        <v>0</v>
      </c>
      <c r="S111" s="419">
        <f>SUMIFS(SX!AJ$2:AJ$19,SX!$B$2:$B$19,'chia CN SX'!$C111)</f>
        <v>0</v>
      </c>
    </row>
    <row r="112" spans="1:19" x14ac:dyDescent="0.25">
      <c r="A112" s="421">
        <f t="shared" si="51"/>
        <v>110</v>
      </c>
      <c r="B112" s="331"/>
      <c r="C112" s="35"/>
      <c r="D112" s="419">
        <f>SUMIFS(SX!U$2:U$19,SX!$B$2:$B$19,'chia CN SX'!$C112)</f>
        <v>0</v>
      </c>
      <c r="E112" s="419">
        <f>SUMIFS(SX!V$2:V$19,SX!$B$2:$B$19,'chia CN SX'!$C112)</f>
        <v>0</v>
      </c>
      <c r="F112" s="419">
        <f>SUMIFS(SX!W$2:W$19,SX!$B$2:$B$19,'chia CN SX'!$C112)</f>
        <v>0</v>
      </c>
      <c r="G112" s="419">
        <f>SUMIFS(SX!X$2:X$19,SX!$B$2:$B$19,'chia CN SX'!$C112)</f>
        <v>0</v>
      </c>
      <c r="H112" s="419">
        <f>SUMIFS(SX!Y$2:Y$19,SX!$B$2:$B$19,'chia CN SX'!$C112)</f>
        <v>0</v>
      </c>
      <c r="I112" s="419">
        <f>SUMIFS(SX!Z$2:Z$19,SX!$B$2:$B$19,'chia CN SX'!$C112)</f>
        <v>0</v>
      </c>
      <c r="J112" s="419">
        <f>SUMIFS(SX!AA$2:AA$19,SX!$B$2:$B$19,'chia CN SX'!$C112)</f>
        <v>0</v>
      </c>
      <c r="K112" s="419">
        <f>SUMIFS(SX!AB$2:AB$19,SX!$B$2:$B$19,'chia CN SX'!$C112)</f>
        <v>0</v>
      </c>
      <c r="L112" s="419">
        <f>SUMIFS(SX!AC$2:AC$19,SX!$B$2:$B$19,'chia CN SX'!$C112)</f>
        <v>0</v>
      </c>
      <c r="M112" s="419">
        <f>SUMIFS(SX!AD$2:AD$19,SX!$B$2:$B$19,'chia CN SX'!$C112)</f>
        <v>0</v>
      </c>
      <c r="N112" s="419">
        <f>SUMIFS(SX!AE$2:AE$19,SX!$B$2:$B$19,'chia CN SX'!$C112)</f>
        <v>0</v>
      </c>
      <c r="O112" s="419">
        <f>SUMIFS(SX!AF$2:AF$19,SX!$B$2:$B$19,'chia CN SX'!$C112)</f>
        <v>0</v>
      </c>
      <c r="P112" s="419">
        <f>SUMIFS(SX!AG$2:AG$19,SX!$B$2:$B$19,'chia CN SX'!$C112)</f>
        <v>0</v>
      </c>
      <c r="Q112" s="419">
        <f>SUMIFS(SX!AH$2:AH$19,SX!$B$2:$B$19,'chia CN SX'!$C112)</f>
        <v>0</v>
      </c>
      <c r="R112" s="419">
        <f>SUMIFS(SX!AI$2:AI$19,SX!$B$2:$B$19,'chia CN SX'!$C112)</f>
        <v>0</v>
      </c>
      <c r="S112" s="419">
        <f>SUMIFS(SX!AJ$2:AJ$19,SX!$B$2:$B$19,'chia CN SX'!$C112)</f>
        <v>0</v>
      </c>
    </row>
    <row r="113" spans="1:19" x14ac:dyDescent="0.25">
      <c r="A113" s="421">
        <f t="shared" si="51"/>
        <v>111</v>
      </c>
      <c r="B113" s="331"/>
      <c r="C113" s="35"/>
      <c r="D113" s="419">
        <f>SUMIFS(SX!U$2:U$19,SX!$B$2:$B$19,'chia CN SX'!$C113)</f>
        <v>0</v>
      </c>
      <c r="E113" s="419">
        <f>SUMIFS(SX!V$2:V$19,SX!$B$2:$B$19,'chia CN SX'!$C113)</f>
        <v>0</v>
      </c>
      <c r="F113" s="419">
        <f>SUMIFS(SX!W$2:W$19,SX!$B$2:$B$19,'chia CN SX'!$C113)</f>
        <v>0</v>
      </c>
      <c r="G113" s="419">
        <f>SUMIFS(SX!X$2:X$19,SX!$B$2:$B$19,'chia CN SX'!$C113)</f>
        <v>0</v>
      </c>
      <c r="H113" s="419">
        <f>SUMIFS(SX!Y$2:Y$19,SX!$B$2:$B$19,'chia CN SX'!$C113)</f>
        <v>0</v>
      </c>
      <c r="I113" s="419">
        <f>SUMIFS(SX!Z$2:Z$19,SX!$B$2:$B$19,'chia CN SX'!$C113)</f>
        <v>0</v>
      </c>
      <c r="J113" s="419">
        <f>SUMIFS(SX!AA$2:AA$19,SX!$B$2:$B$19,'chia CN SX'!$C113)</f>
        <v>0</v>
      </c>
      <c r="K113" s="419">
        <f>SUMIFS(SX!AB$2:AB$19,SX!$B$2:$B$19,'chia CN SX'!$C113)</f>
        <v>0</v>
      </c>
      <c r="L113" s="419">
        <f>SUMIFS(SX!AC$2:AC$19,SX!$B$2:$B$19,'chia CN SX'!$C113)</f>
        <v>0</v>
      </c>
      <c r="M113" s="419">
        <f>SUMIFS(SX!AD$2:AD$19,SX!$B$2:$B$19,'chia CN SX'!$C113)</f>
        <v>0</v>
      </c>
      <c r="N113" s="419">
        <f>SUMIFS(SX!AE$2:AE$19,SX!$B$2:$B$19,'chia CN SX'!$C113)</f>
        <v>0</v>
      </c>
      <c r="O113" s="419">
        <f>SUMIFS(SX!AF$2:AF$19,SX!$B$2:$B$19,'chia CN SX'!$C113)</f>
        <v>0</v>
      </c>
      <c r="P113" s="419">
        <f>SUMIFS(SX!AG$2:AG$19,SX!$B$2:$B$19,'chia CN SX'!$C113)</f>
        <v>0</v>
      </c>
      <c r="Q113" s="419">
        <f>SUMIFS(SX!AH$2:AH$19,SX!$B$2:$B$19,'chia CN SX'!$C113)</f>
        <v>0</v>
      </c>
      <c r="R113" s="419">
        <f>SUMIFS(SX!AI$2:AI$19,SX!$B$2:$B$19,'chia CN SX'!$C113)</f>
        <v>0</v>
      </c>
      <c r="S113" s="419">
        <f>SUMIFS(SX!AJ$2:AJ$19,SX!$B$2:$B$19,'chia CN SX'!$C113)</f>
        <v>0</v>
      </c>
    </row>
    <row r="114" spans="1:19" x14ac:dyDescent="0.25">
      <c r="A114" s="421">
        <f t="shared" si="51"/>
        <v>112</v>
      </c>
      <c r="B114" s="331"/>
      <c r="C114" s="35"/>
      <c r="D114" s="419">
        <f>SUMIFS(SX!U$2:U$19,SX!$B$2:$B$19,'chia CN SX'!$C114)</f>
        <v>0</v>
      </c>
      <c r="E114" s="419">
        <f>SUMIFS(SX!V$2:V$19,SX!$B$2:$B$19,'chia CN SX'!$C114)</f>
        <v>0</v>
      </c>
      <c r="F114" s="419">
        <f>SUMIFS(SX!W$2:W$19,SX!$B$2:$B$19,'chia CN SX'!$C114)</f>
        <v>0</v>
      </c>
      <c r="G114" s="419">
        <f>SUMIFS(SX!X$2:X$19,SX!$B$2:$B$19,'chia CN SX'!$C114)</f>
        <v>0</v>
      </c>
      <c r="H114" s="419">
        <f>SUMIFS(SX!Y$2:Y$19,SX!$B$2:$B$19,'chia CN SX'!$C114)</f>
        <v>0</v>
      </c>
      <c r="I114" s="419">
        <f>SUMIFS(SX!Z$2:Z$19,SX!$B$2:$B$19,'chia CN SX'!$C114)</f>
        <v>0</v>
      </c>
      <c r="J114" s="419">
        <f>SUMIFS(SX!AA$2:AA$19,SX!$B$2:$B$19,'chia CN SX'!$C114)</f>
        <v>0</v>
      </c>
      <c r="K114" s="419">
        <f>SUMIFS(SX!AB$2:AB$19,SX!$B$2:$B$19,'chia CN SX'!$C114)</f>
        <v>0</v>
      </c>
      <c r="L114" s="419">
        <f>SUMIFS(SX!AC$2:AC$19,SX!$B$2:$B$19,'chia CN SX'!$C114)</f>
        <v>0</v>
      </c>
      <c r="M114" s="419">
        <f>SUMIFS(SX!AD$2:AD$19,SX!$B$2:$B$19,'chia CN SX'!$C114)</f>
        <v>0</v>
      </c>
      <c r="N114" s="419">
        <f>SUMIFS(SX!AE$2:AE$19,SX!$B$2:$B$19,'chia CN SX'!$C114)</f>
        <v>0</v>
      </c>
      <c r="O114" s="419">
        <f>SUMIFS(SX!AF$2:AF$19,SX!$B$2:$B$19,'chia CN SX'!$C114)</f>
        <v>0</v>
      </c>
      <c r="P114" s="419">
        <f>SUMIFS(SX!AG$2:AG$19,SX!$B$2:$B$19,'chia CN SX'!$C114)</f>
        <v>0</v>
      </c>
      <c r="Q114" s="419">
        <f>SUMIFS(SX!AH$2:AH$19,SX!$B$2:$B$19,'chia CN SX'!$C114)</f>
        <v>0</v>
      </c>
      <c r="R114" s="419">
        <f>SUMIFS(SX!AI$2:AI$19,SX!$B$2:$B$19,'chia CN SX'!$C114)</f>
        <v>0</v>
      </c>
      <c r="S114" s="419">
        <f>SUMIFS(SX!AJ$2:AJ$19,SX!$B$2:$B$19,'chia CN SX'!$C114)</f>
        <v>0</v>
      </c>
    </row>
  </sheetData>
  <dataValidations count="1">
    <dataValidation type="list" allowBlank="1" showInputMessage="1" showErrorMessage="1" sqref="B115:B1048576">
      <formula1>$C$6:$C$66</formula1>
    </dataValidation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'1'!$C$6:$C$15</xm:f>
          </x14:formula1>
          <xm:sqref>B1:B2</xm:sqref>
        </x14:dataValidation>
        <x14:dataValidation type="list" allowBlank="1" showInputMessage="1" showErrorMessage="1">
          <x14:formula1>
            <xm:f>'1'!$C$6:$C$51</xm:f>
          </x14:formula1>
          <xm:sqref>B3:B12</xm:sqref>
        </x14:dataValidation>
        <x14:dataValidation type="list" allowBlank="1" showInputMessage="1" showErrorMessage="1">
          <x14:formula1>
            <xm:f>'1'!$C$6:$C$51</xm:f>
          </x14:formula1>
          <xm:sqref>B16:B115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N19"/>
  <sheetViews>
    <sheetView workbookViewId="0">
      <pane xSplit="3" ySplit="1" topLeftCell="D2" activePane="bottomRight" state="frozen"/>
      <selection activeCell="R40" sqref="R40"/>
      <selection pane="topRight" activeCell="R40" sqref="R40"/>
      <selection pane="bottomLeft" activeCell="R40" sqref="R40"/>
      <selection pane="bottomRight" activeCell="I2" sqref="I2"/>
    </sheetView>
  </sheetViews>
  <sheetFormatPr defaultRowHeight="15" x14ac:dyDescent="0.25"/>
  <cols>
    <col min="1" max="1" width="4.42578125" customWidth="1"/>
    <col min="2" max="2" width="5.140625" customWidth="1"/>
    <col min="3" max="3" width="12.28515625" hidden="1" customWidth="1"/>
    <col min="4" max="4" width="12.85546875" bestFit="1" customWidth="1"/>
    <col min="5" max="5" width="5" bestFit="1" customWidth="1"/>
    <col min="6" max="7" width="4.42578125" customWidth="1"/>
    <col min="8" max="8" width="5.85546875" customWidth="1"/>
    <col min="9" max="9" width="8.28515625" customWidth="1"/>
    <col min="10" max="12" width="5.7109375" customWidth="1"/>
    <col min="13" max="13" width="3.7109375" customWidth="1"/>
    <col min="14" max="14" width="10.5703125" bestFit="1" customWidth="1"/>
  </cols>
  <sheetData>
    <row r="1" spans="1:14" s="58" customFormat="1" ht="87" customHeight="1" x14ac:dyDescent="0.2">
      <c r="A1" s="62" t="s">
        <v>309</v>
      </c>
      <c r="B1" s="62" t="s">
        <v>307</v>
      </c>
      <c r="C1" s="62"/>
      <c r="D1" s="59" t="s">
        <v>314</v>
      </c>
      <c r="E1" s="59" t="s">
        <v>315</v>
      </c>
      <c r="F1" s="59" t="s">
        <v>397</v>
      </c>
      <c r="G1" s="59" t="s">
        <v>398</v>
      </c>
      <c r="H1" s="57" t="s">
        <v>306</v>
      </c>
      <c r="I1" s="59" t="s">
        <v>314</v>
      </c>
      <c r="J1" s="59" t="s">
        <v>315</v>
      </c>
      <c r="K1" s="59" t="s">
        <v>397</v>
      </c>
      <c r="L1" s="59" t="s">
        <v>398</v>
      </c>
      <c r="M1" s="60"/>
    </row>
    <row r="2" spans="1:14" x14ac:dyDescent="0.25">
      <c r="A2" s="35">
        <v>1</v>
      </c>
      <c r="B2" s="35">
        <v>1</v>
      </c>
      <c r="C2" s="35"/>
      <c r="D2" s="255">
        <v>34740</v>
      </c>
      <c r="E2" s="3"/>
      <c r="F2" s="3"/>
      <c r="G2" s="3"/>
      <c r="H2" s="56">
        <v>2</v>
      </c>
      <c r="I2" s="22">
        <f t="shared" ref="I2:I19" si="0">D2/$H2</f>
        <v>17370</v>
      </c>
      <c r="J2" s="22">
        <f t="shared" ref="J2:J19" si="1">E2/$H2</f>
        <v>0</v>
      </c>
      <c r="K2" s="22">
        <f t="shared" ref="K2:K19" si="2">F2/$H2</f>
        <v>0</v>
      </c>
      <c r="L2" s="117"/>
      <c r="M2" s="61"/>
    </row>
    <row r="3" spans="1:14" x14ac:dyDescent="0.25">
      <c r="A3" s="35">
        <v>2</v>
      </c>
      <c r="B3" s="35">
        <v>2</v>
      </c>
      <c r="C3" s="35"/>
      <c r="D3" s="255"/>
      <c r="E3" s="3"/>
      <c r="F3" s="3"/>
      <c r="G3" s="3"/>
      <c r="H3" s="56"/>
      <c r="I3" s="22" t="e">
        <f t="shared" si="0"/>
        <v>#DIV/0!</v>
      </c>
      <c r="J3" s="22" t="e">
        <f t="shared" si="1"/>
        <v>#DIV/0!</v>
      </c>
      <c r="K3" s="22" t="e">
        <f t="shared" si="2"/>
        <v>#DIV/0!</v>
      </c>
      <c r="L3" s="117"/>
      <c r="M3" s="61"/>
    </row>
    <row r="4" spans="1:14" s="64" customFormat="1" x14ac:dyDescent="0.25">
      <c r="A4" s="63">
        <v>3</v>
      </c>
      <c r="B4" s="35">
        <v>3</v>
      </c>
      <c r="C4" s="63"/>
      <c r="D4" s="255"/>
      <c r="E4" s="3"/>
      <c r="F4" s="3"/>
      <c r="G4" s="3"/>
      <c r="H4" s="56"/>
      <c r="I4" s="22" t="e">
        <f t="shared" si="0"/>
        <v>#DIV/0!</v>
      </c>
      <c r="J4" s="22" t="e">
        <f t="shared" si="1"/>
        <v>#DIV/0!</v>
      </c>
      <c r="K4" s="22" t="e">
        <f t="shared" si="2"/>
        <v>#DIV/0!</v>
      </c>
      <c r="L4" s="117"/>
      <c r="M4" s="61"/>
      <c r="N4" s="258"/>
    </row>
    <row r="5" spans="1:14" x14ac:dyDescent="0.25">
      <c r="A5" s="35">
        <v>4</v>
      </c>
      <c r="B5" s="35">
        <v>4</v>
      </c>
      <c r="C5" s="35"/>
      <c r="D5" s="256"/>
      <c r="E5" s="3"/>
      <c r="F5" s="3"/>
      <c r="G5" s="3"/>
      <c r="H5" s="56"/>
      <c r="I5" s="22" t="e">
        <f t="shared" si="0"/>
        <v>#DIV/0!</v>
      </c>
      <c r="J5" s="22" t="e">
        <f t="shared" si="1"/>
        <v>#DIV/0!</v>
      </c>
      <c r="K5" s="22" t="e">
        <f t="shared" si="2"/>
        <v>#DIV/0!</v>
      </c>
      <c r="L5" s="117"/>
      <c r="M5" s="61"/>
    </row>
    <row r="6" spans="1:14" x14ac:dyDescent="0.25">
      <c r="A6" s="35">
        <v>5</v>
      </c>
      <c r="B6" s="35">
        <v>5</v>
      </c>
      <c r="C6" s="35"/>
      <c r="D6" s="3"/>
      <c r="E6" s="3"/>
      <c r="F6" s="3"/>
      <c r="G6" s="3"/>
      <c r="H6" s="56"/>
      <c r="I6" s="22" t="e">
        <f t="shared" si="0"/>
        <v>#DIV/0!</v>
      </c>
      <c r="J6" s="22" t="e">
        <f t="shared" si="1"/>
        <v>#DIV/0!</v>
      </c>
      <c r="K6" s="22" t="e">
        <f t="shared" si="2"/>
        <v>#DIV/0!</v>
      </c>
      <c r="L6" s="117"/>
      <c r="M6" s="61"/>
    </row>
    <row r="7" spans="1:14" x14ac:dyDescent="0.25">
      <c r="A7" s="35">
        <v>6</v>
      </c>
      <c r="B7" s="35">
        <v>6</v>
      </c>
      <c r="C7" s="35"/>
      <c r="D7" s="3"/>
      <c r="E7" s="3"/>
      <c r="F7" s="3"/>
      <c r="G7" s="3"/>
      <c r="H7" s="56"/>
      <c r="I7" s="22" t="e">
        <f t="shared" si="0"/>
        <v>#DIV/0!</v>
      </c>
      <c r="J7" s="22" t="e">
        <f t="shared" si="1"/>
        <v>#DIV/0!</v>
      </c>
      <c r="K7" s="22" t="e">
        <f t="shared" si="2"/>
        <v>#DIV/0!</v>
      </c>
      <c r="L7" s="117"/>
      <c r="M7" s="61"/>
    </row>
    <row r="8" spans="1:14" x14ac:dyDescent="0.25">
      <c r="A8" s="35">
        <v>7</v>
      </c>
      <c r="B8" s="35">
        <v>7</v>
      </c>
      <c r="C8" s="35"/>
      <c r="D8" s="3"/>
      <c r="E8" s="3"/>
      <c r="F8" s="3"/>
      <c r="G8" s="3"/>
      <c r="H8" s="56"/>
      <c r="I8" s="22" t="e">
        <f t="shared" si="0"/>
        <v>#DIV/0!</v>
      </c>
      <c r="J8" s="22" t="e">
        <f t="shared" si="1"/>
        <v>#DIV/0!</v>
      </c>
      <c r="K8" s="22" t="e">
        <f t="shared" si="2"/>
        <v>#DIV/0!</v>
      </c>
      <c r="L8" s="117"/>
      <c r="M8" s="61"/>
    </row>
    <row r="9" spans="1:14" x14ac:dyDescent="0.25">
      <c r="A9" s="35">
        <v>8</v>
      </c>
      <c r="B9" s="35">
        <v>8</v>
      </c>
      <c r="C9" s="35"/>
      <c r="D9" s="3"/>
      <c r="E9" s="3"/>
      <c r="F9" s="3"/>
      <c r="G9" s="3"/>
      <c r="H9" s="56"/>
      <c r="I9" s="22" t="e">
        <f t="shared" si="0"/>
        <v>#DIV/0!</v>
      </c>
      <c r="J9" s="22" t="e">
        <f t="shared" si="1"/>
        <v>#DIV/0!</v>
      </c>
      <c r="K9" s="22" t="e">
        <f t="shared" si="2"/>
        <v>#DIV/0!</v>
      </c>
      <c r="L9" s="117"/>
      <c r="M9" s="61"/>
    </row>
    <row r="10" spans="1:14" x14ac:dyDescent="0.25">
      <c r="A10" s="35">
        <v>9</v>
      </c>
      <c r="B10" s="35">
        <v>9</v>
      </c>
      <c r="C10" s="35"/>
      <c r="D10" s="3"/>
      <c r="E10" s="3"/>
      <c r="F10" s="3"/>
      <c r="G10" s="3"/>
      <c r="H10" s="56"/>
      <c r="I10" s="22" t="e">
        <f t="shared" si="0"/>
        <v>#DIV/0!</v>
      </c>
      <c r="J10" s="22" t="e">
        <f t="shared" si="1"/>
        <v>#DIV/0!</v>
      </c>
      <c r="K10" s="22" t="e">
        <f t="shared" si="2"/>
        <v>#DIV/0!</v>
      </c>
      <c r="L10" s="117"/>
      <c r="M10" s="61"/>
    </row>
    <row r="11" spans="1:14" x14ac:dyDescent="0.25">
      <c r="A11" s="35">
        <v>10</v>
      </c>
      <c r="B11" s="35">
        <v>10</v>
      </c>
      <c r="C11" s="35"/>
      <c r="D11" s="3"/>
      <c r="E11" s="3"/>
      <c r="F11" s="3"/>
      <c r="G11" s="3"/>
      <c r="H11" s="56"/>
      <c r="I11" s="22" t="e">
        <f t="shared" si="0"/>
        <v>#DIV/0!</v>
      </c>
      <c r="J11" s="22" t="e">
        <f t="shared" si="1"/>
        <v>#DIV/0!</v>
      </c>
      <c r="K11" s="22" t="e">
        <f t="shared" si="2"/>
        <v>#DIV/0!</v>
      </c>
      <c r="L11" s="117"/>
      <c r="M11" s="61"/>
    </row>
    <row r="12" spans="1:14" x14ac:dyDescent="0.25">
      <c r="A12" s="35">
        <v>11</v>
      </c>
      <c r="B12" s="35">
        <v>11</v>
      </c>
      <c r="C12" s="35"/>
      <c r="D12" s="3"/>
      <c r="E12" s="3"/>
      <c r="F12" s="3"/>
      <c r="G12" s="3"/>
      <c r="H12" s="56"/>
      <c r="I12" s="22" t="e">
        <f t="shared" si="0"/>
        <v>#DIV/0!</v>
      </c>
      <c r="J12" s="22" t="e">
        <f t="shared" si="1"/>
        <v>#DIV/0!</v>
      </c>
      <c r="K12" s="22" t="e">
        <f t="shared" si="2"/>
        <v>#DIV/0!</v>
      </c>
      <c r="L12" s="117"/>
      <c r="M12" s="61"/>
    </row>
    <row r="13" spans="1:14" x14ac:dyDescent="0.25">
      <c r="A13" s="35">
        <v>12</v>
      </c>
      <c r="B13" s="35">
        <v>12</v>
      </c>
      <c r="C13" s="35"/>
      <c r="D13" s="3"/>
      <c r="E13" s="3"/>
      <c r="F13" s="3"/>
      <c r="G13" s="3"/>
      <c r="H13" s="56"/>
      <c r="I13" s="22" t="e">
        <f t="shared" si="0"/>
        <v>#DIV/0!</v>
      </c>
      <c r="J13" s="22" t="e">
        <f t="shared" si="1"/>
        <v>#DIV/0!</v>
      </c>
      <c r="K13" s="22" t="e">
        <f t="shared" si="2"/>
        <v>#DIV/0!</v>
      </c>
      <c r="L13" s="117"/>
      <c r="M13" s="61"/>
    </row>
    <row r="14" spans="1:14" x14ac:dyDescent="0.25">
      <c r="A14" s="35">
        <v>13</v>
      </c>
      <c r="B14" s="35">
        <v>13</v>
      </c>
      <c r="C14" s="35"/>
      <c r="D14" s="3"/>
      <c r="E14" s="3"/>
      <c r="F14" s="3"/>
      <c r="G14" s="3"/>
      <c r="H14" s="56"/>
      <c r="I14" s="22" t="e">
        <f t="shared" si="0"/>
        <v>#DIV/0!</v>
      </c>
      <c r="J14" s="22" t="e">
        <f t="shared" si="1"/>
        <v>#DIV/0!</v>
      </c>
      <c r="K14" s="22" t="e">
        <f t="shared" si="2"/>
        <v>#DIV/0!</v>
      </c>
      <c r="L14" s="117"/>
      <c r="M14" s="61"/>
    </row>
    <row r="15" spans="1:14" x14ac:dyDescent="0.25">
      <c r="A15" s="35">
        <v>14</v>
      </c>
      <c r="B15" s="35">
        <v>14</v>
      </c>
      <c r="C15" s="35"/>
      <c r="D15" s="3"/>
      <c r="E15" s="3"/>
      <c r="F15" s="3"/>
      <c r="G15" s="3"/>
      <c r="H15" s="56"/>
      <c r="I15" s="22" t="e">
        <f t="shared" si="0"/>
        <v>#DIV/0!</v>
      </c>
      <c r="J15" s="22" t="e">
        <f t="shared" si="1"/>
        <v>#DIV/0!</v>
      </c>
      <c r="K15" s="22" t="e">
        <f t="shared" si="2"/>
        <v>#DIV/0!</v>
      </c>
      <c r="L15" s="117"/>
      <c r="M15" s="61"/>
    </row>
    <row r="16" spans="1:14" x14ac:dyDescent="0.25">
      <c r="A16" s="35">
        <v>15</v>
      </c>
      <c r="B16" s="35">
        <v>15</v>
      </c>
      <c r="C16" s="35"/>
      <c r="D16" s="3"/>
      <c r="E16" s="3"/>
      <c r="F16" s="3"/>
      <c r="G16" s="3"/>
      <c r="H16" s="56"/>
      <c r="I16" s="22" t="e">
        <f t="shared" si="0"/>
        <v>#DIV/0!</v>
      </c>
      <c r="J16" s="22" t="e">
        <f t="shared" si="1"/>
        <v>#DIV/0!</v>
      </c>
      <c r="K16" s="22" t="e">
        <f t="shared" si="2"/>
        <v>#DIV/0!</v>
      </c>
      <c r="L16" s="117"/>
      <c r="M16" s="61"/>
    </row>
    <row r="17" spans="1:13" x14ac:dyDescent="0.25">
      <c r="A17" s="35">
        <v>16</v>
      </c>
      <c r="B17" s="35">
        <v>16</v>
      </c>
      <c r="C17" s="35"/>
      <c r="D17" s="3"/>
      <c r="E17" s="3"/>
      <c r="F17" s="3"/>
      <c r="G17" s="3"/>
      <c r="H17" s="56"/>
      <c r="I17" s="22" t="e">
        <f t="shared" si="0"/>
        <v>#DIV/0!</v>
      </c>
      <c r="J17" s="22" t="e">
        <f t="shared" si="1"/>
        <v>#DIV/0!</v>
      </c>
      <c r="K17" s="22" t="e">
        <f t="shared" si="2"/>
        <v>#DIV/0!</v>
      </c>
      <c r="L17" s="117"/>
      <c r="M17" s="61"/>
    </row>
    <row r="18" spans="1:13" x14ac:dyDescent="0.25">
      <c r="A18" s="35">
        <v>17</v>
      </c>
      <c r="B18" s="35"/>
      <c r="C18" s="35"/>
      <c r="D18" s="3"/>
      <c r="E18" s="3"/>
      <c r="F18" s="3"/>
      <c r="G18" s="3"/>
      <c r="H18" s="56"/>
      <c r="I18" s="22" t="e">
        <f t="shared" si="0"/>
        <v>#DIV/0!</v>
      </c>
      <c r="J18" s="22" t="e">
        <f t="shared" si="1"/>
        <v>#DIV/0!</v>
      </c>
      <c r="K18" s="22" t="e">
        <f t="shared" si="2"/>
        <v>#DIV/0!</v>
      </c>
      <c r="L18" s="117"/>
      <c r="M18" s="61"/>
    </row>
    <row r="19" spans="1:13" x14ac:dyDescent="0.25">
      <c r="A19" s="35">
        <v>18</v>
      </c>
      <c r="B19" s="35"/>
      <c r="C19" s="35"/>
      <c r="D19" s="3"/>
      <c r="E19" s="3"/>
      <c r="F19" s="3"/>
      <c r="G19" s="3"/>
      <c r="H19" s="56"/>
      <c r="I19" s="22" t="e">
        <f t="shared" si="0"/>
        <v>#DIV/0!</v>
      </c>
      <c r="J19" s="22" t="e">
        <f t="shared" si="1"/>
        <v>#DIV/0!</v>
      </c>
      <c r="K19" s="22" t="e">
        <f t="shared" si="2"/>
        <v>#DIV/0!</v>
      </c>
      <c r="L19" s="117"/>
      <c r="M19" s="61"/>
    </row>
  </sheetData>
  <pageMargins left="0.7" right="0.7" top="0.75" bottom="0.75" header="0.3" footer="0.3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2:M169"/>
  <sheetViews>
    <sheetView workbookViewId="0">
      <selection activeCell="I63" sqref="I63"/>
    </sheetView>
  </sheetViews>
  <sheetFormatPr defaultRowHeight="15" x14ac:dyDescent="0.25"/>
  <cols>
    <col min="2" max="2" width="19.85546875" customWidth="1"/>
    <col min="3" max="3" width="9.42578125" bestFit="1" customWidth="1"/>
    <col min="4" max="4" width="7.7109375" bestFit="1" customWidth="1"/>
    <col min="5" max="6" width="5.140625" bestFit="1" customWidth="1"/>
    <col min="9" max="9" width="21.140625" customWidth="1"/>
    <col min="10" max="10" width="7.7109375" bestFit="1" customWidth="1"/>
    <col min="11" max="12" width="5.140625" bestFit="1" customWidth="1"/>
  </cols>
  <sheetData>
    <row r="2" spans="1:13" ht="61.5" customHeight="1" x14ac:dyDescent="0.25">
      <c r="A2" s="35"/>
      <c r="B2" s="35" t="s">
        <v>311</v>
      </c>
      <c r="C2" s="35" t="s">
        <v>310</v>
      </c>
      <c r="D2" s="59" t="str">
        <f>XLBH!I1</f>
        <v>Bùn Bình Hưng</v>
      </c>
      <c r="E2" s="59" t="str">
        <f>XLBH!J1</f>
        <v>Bùn Bình Hưng Hòa</v>
      </c>
      <c r="F2" s="59" t="str">
        <f>XLBH!K1</f>
        <v>Bùn Bình TH-LG</v>
      </c>
      <c r="I2" s="68"/>
      <c r="J2" s="59" t="str">
        <f>D2</f>
        <v>Bùn Bình Hưng</v>
      </c>
      <c r="K2" s="59" t="str">
        <f>E2</f>
        <v>Bùn Bình Hưng Hòa</v>
      </c>
      <c r="L2" s="59" t="str">
        <f>F2</f>
        <v>Bùn Bình TH-LG</v>
      </c>
    </row>
    <row r="3" spans="1:13" x14ac:dyDescent="0.25">
      <c r="A3" s="35">
        <v>1</v>
      </c>
      <c r="B3" s="195" t="s">
        <v>75</v>
      </c>
      <c r="C3" s="35">
        <v>1</v>
      </c>
      <c r="D3" s="419">
        <f>SUMIFS(XLBH!I$2:I$19,XLBH!$B$2:$B$19,'chia CN XLBH'!$C3)</f>
        <v>17370</v>
      </c>
      <c r="E3" s="22">
        <f>SUMIFS(XLBH!J$2:J$19,XLBH!$B$2:$B$19,'chia CN XLBH'!$C3)</f>
        <v>0</v>
      </c>
      <c r="F3" s="22">
        <f>SUMIFS(XLBH!K$2:K$19,XLBH!$B$2:$B$19,'chia CN XLBH'!$C3)</f>
        <v>0</v>
      </c>
      <c r="I3" s="67" t="e">
        <f>'chia CN SX'!V3</f>
        <v>#REF!</v>
      </c>
      <c r="J3" s="69">
        <f t="shared" ref="J3:J18" si="0">SUMIF($B$3:$B$169,$I3,D$3:D$169)</f>
        <v>0</v>
      </c>
      <c r="K3" s="69">
        <f t="shared" ref="K3:K18" si="1">SUMIF($B$3:$B$169,$I3,E$3:E$169)</f>
        <v>0</v>
      </c>
      <c r="L3" s="69">
        <f t="shared" ref="L3:L18" si="2">SUMIF($B$3:$B$169,$I3,F$3:F$169)</f>
        <v>0</v>
      </c>
    </row>
    <row r="4" spans="1:13" x14ac:dyDescent="0.25">
      <c r="A4" s="35">
        <v>2</v>
      </c>
      <c r="B4" s="421" t="s">
        <v>77</v>
      </c>
      <c r="C4" s="421">
        <v>1</v>
      </c>
      <c r="D4" s="419">
        <f>SUMIFS(XLBH!I$2:I$19,XLBH!$B$2:$B$19,'chia CN XLBH'!$C4)</f>
        <v>17370</v>
      </c>
      <c r="E4" s="22">
        <f>SUMIFS(XLBH!J$2:J$19,XLBH!$B$2:$B$19,'chia CN XLBH'!$C4)</f>
        <v>0</v>
      </c>
      <c r="F4" s="22">
        <f>SUMIFS(XLBH!K$2:K$19,XLBH!$B$2:$B$19,'chia CN XLBH'!$C4)</f>
        <v>0</v>
      </c>
      <c r="I4" s="67" t="e">
        <f>'chia CN SX'!V4</f>
        <v>#REF!</v>
      </c>
      <c r="J4" s="69">
        <f t="shared" si="0"/>
        <v>0</v>
      </c>
      <c r="K4" s="69">
        <f t="shared" si="1"/>
        <v>0</v>
      </c>
      <c r="L4" s="69">
        <f t="shared" si="2"/>
        <v>0</v>
      </c>
    </row>
    <row r="5" spans="1:13" x14ac:dyDescent="0.25">
      <c r="A5" s="35">
        <v>3</v>
      </c>
      <c r="B5" s="195"/>
      <c r="C5" s="421"/>
      <c r="D5" s="419">
        <f>SUMIFS(XLBH!I$2:I$19,XLBH!$B$2:$B$19,'chia CN XLBH'!$C5)</f>
        <v>0</v>
      </c>
      <c r="E5" s="22">
        <f>SUMIFS(XLBH!J$2:J$19,XLBH!$B$2:$B$19,'chia CN XLBH'!$C5)</f>
        <v>0</v>
      </c>
      <c r="F5" s="22">
        <f>SUMIFS(XLBH!K$2:K$19,XLBH!$B$2:$B$19,'chia CN XLBH'!$C5)</f>
        <v>0</v>
      </c>
      <c r="I5" s="67" t="e">
        <f>'chia CN SX'!V5</f>
        <v>#REF!</v>
      </c>
      <c r="J5" s="69">
        <f t="shared" si="0"/>
        <v>0</v>
      </c>
      <c r="K5" s="69">
        <f t="shared" si="1"/>
        <v>0</v>
      </c>
      <c r="L5" s="69">
        <f t="shared" si="2"/>
        <v>0</v>
      </c>
    </row>
    <row r="6" spans="1:13" x14ac:dyDescent="0.25">
      <c r="A6" s="35">
        <v>4</v>
      </c>
      <c r="B6" s="421"/>
      <c r="C6" s="421"/>
      <c r="D6" s="419">
        <f>SUMIFS(XLBH!I$2:I$19,XLBH!$B$2:$B$19,'chia CN XLBH'!$C6)</f>
        <v>0</v>
      </c>
      <c r="E6" s="22">
        <f>SUMIFS(XLBH!J$2:J$19,XLBH!$B$2:$B$19,'chia CN XLBH'!$C6)</f>
        <v>0</v>
      </c>
      <c r="F6" s="22">
        <f>SUMIFS(XLBH!K$2:K$19,XLBH!$B$2:$B$19,'chia CN XLBH'!$C6)</f>
        <v>0</v>
      </c>
      <c r="I6" s="67" t="str">
        <f>'chia CN SX'!V6</f>
        <v>Lê Tấn Phát</v>
      </c>
      <c r="J6" s="69">
        <f t="shared" si="0"/>
        <v>0</v>
      </c>
      <c r="K6" s="69">
        <f t="shared" si="1"/>
        <v>0</v>
      </c>
      <c r="L6" s="69">
        <f t="shared" si="2"/>
        <v>0</v>
      </c>
    </row>
    <row r="7" spans="1:13" x14ac:dyDescent="0.25">
      <c r="A7" s="35">
        <v>5</v>
      </c>
      <c r="B7" s="421"/>
      <c r="C7" s="421"/>
      <c r="D7" s="419">
        <f>SUMIFS(XLBH!I$2:I$19,XLBH!$B$2:$B$19,'chia CN XLBH'!$C7)</f>
        <v>0</v>
      </c>
      <c r="E7" s="22">
        <f>SUMIFS(XLBH!J$2:J$19,XLBH!$B$2:$B$19,'chia CN XLBH'!$C7)</f>
        <v>0</v>
      </c>
      <c r="F7" s="22">
        <f>SUMIFS(XLBH!K$2:K$19,XLBH!$B$2:$B$19,'chia CN XLBH'!$C7)</f>
        <v>0</v>
      </c>
      <c r="I7" s="67" t="str">
        <f>'chia CN SX'!V7</f>
        <v>Triệu Minh Tú</v>
      </c>
      <c r="J7" s="69">
        <f t="shared" si="0"/>
        <v>0</v>
      </c>
      <c r="K7" s="69">
        <f t="shared" si="1"/>
        <v>0</v>
      </c>
      <c r="L7" s="69">
        <f t="shared" si="2"/>
        <v>0</v>
      </c>
    </row>
    <row r="8" spans="1:13" x14ac:dyDescent="0.25">
      <c r="A8" s="35">
        <v>6</v>
      </c>
      <c r="B8" s="35"/>
      <c r="C8" s="421"/>
      <c r="D8" s="419">
        <f>SUMIFS(XLBH!I$2:I$19,XLBH!$B$2:$B$19,'chia CN XLBH'!$C8)</f>
        <v>0</v>
      </c>
      <c r="E8" s="22">
        <f>SUMIFS(XLBH!J$2:J$19,XLBH!$B$2:$B$19,'chia CN XLBH'!$C8)</f>
        <v>0</v>
      </c>
      <c r="F8" s="22">
        <f>SUMIFS(XLBH!K$2:K$19,XLBH!$B$2:$B$19,'chia CN XLBH'!$C8)</f>
        <v>0</v>
      </c>
      <c r="I8" s="67" t="e">
        <f>'chia CN SX'!V8</f>
        <v>#REF!</v>
      </c>
      <c r="J8" s="69">
        <f t="shared" si="0"/>
        <v>0</v>
      </c>
      <c r="K8" s="69">
        <f t="shared" si="1"/>
        <v>0</v>
      </c>
      <c r="L8" s="69">
        <f t="shared" si="2"/>
        <v>0</v>
      </c>
      <c r="M8">
        <v>1734</v>
      </c>
    </row>
    <row r="9" spans="1:13" x14ac:dyDescent="0.25">
      <c r="A9" s="35">
        <v>7</v>
      </c>
      <c r="B9" s="35"/>
      <c r="C9" s="421"/>
      <c r="D9" s="22">
        <f>SUMIFS(XLBH!I$2:I$19,XLBH!$B$2:$B$19,'chia CN XLBH'!$C9)</f>
        <v>0</v>
      </c>
      <c r="E9" s="22">
        <f>SUMIFS(XLBH!J$2:J$19,XLBH!$B$2:$B$19,'chia CN XLBH'!$C9)</f>
        <v>0</v>
      </c>
      <c r="F9" s="22">
        <f>SUMIFS(XLBH!K$2:K$19,XLBH!$B$2:$B$19,'chia CN XLBH'!$C9)</f>
        <v>0</v>
      </c>
      <c r="I9" s="67" t="str">
        <f>'chia CN SX'!V9</f>
        <v>Thạch Giàu</v>
      </c>
      <c r="J9" s="69">
        <f t="shared" si="0"/>
        <v>17370</v>
      </c>
      <c r="K9" s="69">
        <f t="shared" si="1"/>
        <v>0</v>
      </c>
      <c r="L9" s="69">
        <f t="shared" si="2"/>
        <v>0</v>
      </c>
    </row>
    <row r="10" spans="1:13" x14ac:dyDescent="0.25">
      <c r="A10" s="35">
        <v>9</v>
      </c>
      <c r="B10" s="35"/>
      <c r="C10" s="421"/>
      <c r="D10" s="22">
        <f>SUMIFS(XLBH!I$2:I$19,XLBH!$B$2:$B$19,'chia CN XLBH'!$C10)</f>
        <v>0</v>
      </c>
      <c r="E10" s="22">
        <f>SUMIFS(XLBH!J$2:J$19,XLBH!$B$2:$B$19,'chia CN XLBH'!$C10)</f>
        <v>0</v>
      </c>
      <c r="F10" s="22">
        <f>SUMIFS(XLBH!K$2:K$19,XLBH!$B$2:$B$19,'chia CN XLBH'!$C10)</f>
        <v>0</v>
      </c>
      <c r="I10" s="67" t="e">
        <f>'chia CN SX'!V10</f>
        <v>#REF!</v>
      </c>
      <c r="J10" s="69">
        <f t="shared" si="0"/>
        <v>0</v>
      </c>
      <c r="K10" s="69">
        <f t="shared" si="1"/>
        <v>0</v>
      </c>
      <c r="L10" s="69">
        <f t="shared" si="2"/>
        <v>0</v>
      </c>
    </row>
    <row r="11" spans="1:13" x14ac:dyDescent="0.25">
      <c r="A11" s="35">
        <v>10</v>
      </c>
      <c r="B11" s="35"/>
      <c r="C11" s="421"/>
      <c r="D11" s="22">
        <f>SUMIFS(XLBH!I$2:I$19,XLBH!$B$2:$B$19,'chia CN XLBH'!$C11)</f>
        <v>0</v>
      </c>
      <c r="E11" s="22">
        <f>SUMIFS(XLBH!J$2:J$19,XLBH!$B$2:$B$19,'chia CN XLBH'!$C11)</f>
        <v>0</v>
      </c>
      <c r="F11" s="22">
        <f>SUMIFS(XLBH!K$2:K$19,XLBH!$B$2:$B$19,'chia CN XLBH'!$C11)</f>
        <v>0</v>
      </c>
      <c r="I11" s="67" t="str">
        <f>'chia CN SX'!V11</f>
        <v>Trần Thanh Hậu</v>
      </c>
      <c r="J11" s="69">
        <f t="shared" si="0"/>
        <v>17370</v>
      </c>
      <c r="K11" s="69">
        <f t="shared" si="1"/>
        <v>0</v>
      </c>
      <c r="L11" s="69">
        <f t="shared" si="2"/>
        <v>0</v>
      </c>
    </row>
    <row r="12" spans="1:13" x14ac:dyDescent="0.25">
      <c r="A12" s="35">
        <v>11</v>
      </c>
      <c r="B12" s="35"/>
      <c r="C12" s="421"/>
      <c r="D12" s="22">
        <f>SUMIFS(XLBH!I$2:I$19,XLBH!$B$2:$B$19,'chia CN XLBH'!$C12)</f>
        <v>0</v>
      </c>
      <c r="E12" s="22">
        <f>SUMIFS(XLBH!J$2:J$19,XLBH!$B$2:$B$19,'chia CN XLBH'!$C12)</f>
        <v>0</v>
      </c>
      <c r="F12" s="22">
        <f>SUMIFS(XLBH!K$2:K$19,XLBH!$B$2:$B$19,'chia CN XLBH'!$C12)</f>
        <v>0</v>
      </c>
      <c r="I12" s="67" t="e">
        <f>'chia CN SX'!V12</f>
        <v>#REF!</v>
      </c>
      <c r="J12" s="69">
        <f t="shared" si="0"/>
        <v>0</v>
      </c>
      <c r="K12" s="69">
        <f t="shared" si="1"/>
        <v>0</v>
      </c>
      <c r="L12" s="69">
        <f t="shared" si="2"/>
        <v>0</v>
      </c>
    </row>
    <row r="13" spans="1:13" x14ac:dyDescent="0.25">
      <c r="A13" s="35">
        <v>12</v>
      </c>
      <c r="B13" s="35"/>
      <c r="C13" s="35"/>
      <c r="D13" s="22">
        <f>SUMIFS(XLBH!I$2:I$19,XLBH!$B$2:$B$19,'chia CN XLBH'!$C13)</f>
        <v>0</v>
      </c>
      <c r="E13" s="22">
        <f>SUMIFS(XLBH!J$2:J$19,XLBH!$B$2:$B$19,'chia CN XLBH'!$C13)</f>
        <v>0</v>
      </c>
      <c r="F13" s="22">
        <f>SUMIFS(XLBH!K$2:K$19,XLBH!$B$2:$B$19,'chia CN XLBH'!$C13)</f>
        <v>0</v>
      </c>
      <c r="I13" s="67" t="str">
        <f>'chia CN SX'!V13</f>
        <v>Châu Thành Nhân</v>
      </c>
      <c r="J13" s="69">
        <f t="shared" si="0"/>
        <v>0</v>
      </c>
      <c r="K13" s="69">
        <f t="shared" si="1"/>
        <v>0</v>
      </c>
      <c r="L13" s="69">
        <f t="shared" si="2"/>
        <v>0</v>
      </c>
    </row>
    <row r="14" spans="1:13" x14ac:dyDescent="0.25">
      <c r="A14" s="35">
        <v>13</v>
      </c>
      <c r="B14" s="35"/>
      <c r="C14" s="35"/>
      <c r="D14" s="22">
        <f>SUMIFS(XLBH!I$2:I$19,XLBH!$B$2:$B$19,'chia CN XLBH'!$C14)</f>
        <v>0</v>
      </c>
      <c r="E14" s="22">
        <f>SUMIFS(XLBH!J$2:J$19,XLBH!$B$2:$B$19,'chia CN XLBH'!$C14)</f>
        <v>0</v>
      </c>
      <c r="F14" s="22">
        <f>SUMIFS(XLBH!K$2:K$19,XLBH!$B$2:$B$19,'chia CN XLBH'!$C14)</f>
        <v>0</v>
      </c>
      <c r="I14" s="67" t="str">
        <f>'chia CN SX'!V14</f>
        <v>Nguyễn Văn Chạy</v>
      </c>
      <c r="J14" s="69">
        <f t="shared" si="0"/>
        <v>0</v>
      </c>
      <c r="K14" s="69">
        <f t="shared" si="1"/>
        <v>0</v>
      </c>
      <c r="L14" s="69">
        <f t="shared" si="2"/>
        <v>0</v>
      </c>
    </row>
    <row r="15" spans="1:13" x14ac:dyDescent="0.25">
      <c r="A15" s="35">
        <v>14</v>
      </c>
      <c r="B15" s="35"/>
      <c r="C15" s="35"/>
      <c r="D15" s="22">
        <f>SUMIFS(XLBH!I$2:I$19,XLBH!$B$2:$B$19,'chia CN XLBH'!$C15)</f>
        <v>0</v>
      </c>
      <c r="E15" s="22">
        <f>SUMIFS(XLBH!J$2:J$19,XLBH!$B$2:$B$19,'chia CN XLBH'!$C15)</f>
        <v>0</v>
      </c>
      <c r="F15" s="22">
        <f>SUMIFS(XLBH!K$2:K$19,XLBH!$B$2:$B$19,'chia CN XLBH'!$C15)</f>
        <v>0</v>
      </c>
      <c r="I15" s="67" t="str">
        <f>'chia CN SX'!V15</f>
        <v>Hà Hoàng Hùng</v>
      </c>
      <c r="J15" s="69">
        <f t="shared" si="0"/>
        <v>0</v>
      </c>
      <c r="K15" s="69">
        <f t="shared" si="1"/>
        <v>0</v>
      </c>
      <c r="L15" s="69">
        <f t="shared" si="2"/>
        <v>0</v>
      </c>
    </row>
    <row r="16" spans="1:13" x14ac:dyDescent="0.25">
      <c r="A16" s="35">
        <v>15</v>
      </c>
      <c r="B16" s="35"/>
      <c r="C16" s="35"/>
      <c r="D16" s="22">
        <f>SUMIFS(XLBH!I$2:I$19,XLBH!$B$2:$B$19,'chia CN XLBH'!$C16)</f>
        <v>0</v>
      </c>
      <c r="E16" s="22">
        <f>SUMIFS(XLBH!J$2:J$19,XLBH!$B$2:$B$19,'chia CN XLBH'!$C16)</f>
        <v>0</v>
      </c>
      <c r="F16" s="22">
        <f>SUMIFS(XLBH!K$2:K$19,XLBH!$B$2:$B$19,'chia CN XLBH'!$C16)</f>
        <v>0</v>
      </c>
      <c r="I16" s="67" t="e">
        <f>'chia CN SX'!V16</f>
        <v>#REF!</v>
      </c>
      <c r="J16" s="69">
        <f t="shared" si="0"/>
        <v>0</v>
      </c>
      <c r="K16" s="69">
        <f t="shared" si="1"/>
        <v>0</v>
      </c>
      <c r="L16" s="69">
        <f t="shared" si="2"/>
        <v>0</v>
      </c>
    </row>
    <row r="17" spans="1:12" x14ac:dyDescent="0.25">
      <c r="A17" s="35"/>
      <c r="B17" s="35"/>
      <c r="C17" s="35"/>
      <c r="D17" s="22"/>
      <c r="E17" s="22"/>
      <c r="F17" s="22"/>
      <c r="I17" s="67" t="str">
        <f>'chia CN SX'!V17</f>
        <v>Châu Văn Phước</v>
      </c>
      <c r="J17" s="69">
        <f t="shared" si="0"/>
        <v>0</v>
      </c>
      <c r="K17" s="69">
        <f t="shared" si="1"/>
        <v>0</v>
      </c>
      <c r="L17" s="69">
        <f t="shared" si="2"/>
        <v>0</v>
      </c>
    </row>
    <row r="18" spans="1:12" x14ac:dyDescent="0.25">
      <c r="A18" s="35">
        <v>16</v>
      </c>
      <c r="B18" s="35"/>
      <c r="C18" s="35"/>
      <c r="D18" s="22">
        <f>SUMIFS(XLBH!I$2:I$19,XLBH!$B$2:$B$19,'chia CN XLBH'!$C18)</f>
        <v>0</v>
      </c>
      <c r="E18" s="22">
        <f>SUMIFS(XLBH!J$2:J$19,XLBH!$B$2:$B$19,'chia CN XLBH'!$C18)</f>
        <v>0</v>
      </c>
      <c r="F18" s="22">
        <f>SUMIFS(XLBH!K$2:K$19,XLBH!$B$2:$B$19,'chia CN XLBH'!$C18)</f>
        <v>0</v>
      </c>
      <c r="I18" s="80" t="e">
        <f>'chia CN SX'!V18</f>
        <v>#REF!</v>
      </c>
      <c r="J18" s="81">
        <f t="shared" si="0"/>
        <v>0</v>
      </c>
      <c r="K18" s="81">
        <f t="shared" si="1"/>
        <v>0</v>
      </c>
      <c r="L18" s="81">
        <f t="shared" si="2"/>
        <v>0</v>
      </c>
    </row>
    <row r="19" spans="1:12" x14ac:dyDescent="0.25">
      <c r="A19" s="421">
        <v>17</v>
      </c>
      <c r="B19" s="421"/>
      <c r="C19" s="421"/>
      <c r="D19" s="419">
        <f>SUMIFS(XLBH!I$2:I$19,XLBH!$B$2:$B$19,'chia CN XLBH'!$C19)</f>
        <v>0</v>
      </c>
      <c r="E19" s="419">
        <f>SUMIFS(XLBH!J$2:J$19,XLBH!$B$2:$B$19,'chia CN XLBH'!$C19)</f>
        <v>0</v>
      </c>
      <c r="F19" s="419">
        <f>SUMIFS(XLBH!K$2:K$19,XLBH!$B$2:$B$19,'chia CN XLBH'!$C19)</f>
        <v>0</v>
      </c>
      <c r="I19" s="80" t="e">
        <f>'chia CN SX'!V19</f>
        <v>#REF!</v>
      </c>
      <c r="J19" s="81">
        <f t="shared" ref="J19:J82" si="3">SUMIF($B$3:$B$169,$I19,D$3:D$169)</f>
        <v>0</v>
      </c>
      <c r="K19" s="81">
        <f t="shared" ref="K19:K82" si="4">SUMIF($B$3:$B$169,$I19,E$3:E$169)</f>
        <v>0</v>
      </c>
      <c r="L19" s="81">
        <f t="shared" ref="L19:L82" si="5">SUMIF($B$3:$B$169,$I19,F$3:F$169)</f>
        <v>0</v>
      </c>
    </row>
    <row r="20" spans="1:12" x14ac:dyDescent="0.25">
      <c r="A20" s="421">
        <v>18</v>
      </c>
      <c r="B20" s="421"/>
      <c r="C20" s="421"/>
      <c r="D20" s="419">
        <f>SUMIFS(XLBH!I$2:I$19,XLBH!$B$2:$B$19,'chia CN XLBH'!$C20)</f>
        <v>0</v>
      </c>
      <c r="E20" s="419">
        <f>SUMIFS(XLBH!J$2:J$19,XLBH!$B$2:$B$19,'chia CN XLBH'!$C20)</f>
        <v>0</v>
      </c>
      <c r="F20" s="419">
        <f>SUMIFS(XLBH!K$2:K$19,XLBH!$B$2:$B$19,'chia CN XLBH'!$C20)</f>
        <v>0</v>
      </c>
      <c r="I20" s="80" t="e">
        <f>'chia CN SX'!V20</f>
        <v>#REF!</v>
      </c>
      <c r="J20" s="81">
        <f t="shared" si="3"/>
        <v>0</v>
      </c>
      <c r="K20" s="81">
        <f t="shared" si="4"/>
        <v>0</v>
      </c>
      <c r="L20" s="81">
        <f t="shared" si="5"/>
        <v>0</v>
      </c>
    </row>
    <row r="21" spans="1:12" x14ac:dyDescent="0.25">
      <c r="A21" s="421">
        <v>19</v>
      </c>
      <c r="B21" s="421"/>
      <c r="C21" s="421"/>
      <c r="D21" s="419">
        <f>SUMIFS(XLBH!I$2:I$19,XLBH!$B$2:$B$19,'chia CN XLBH'!$C21)</f>
        <v>0</v>
      </c>
      <c r="E21" s="419">
        <f>SUMIFS(XLBH!J$2:J$19,XLBH!$B$2:$B$19,'chia CN XLBH'!$C21)</f>
        <v>0</v>
      </c>
      <c r="F21" s="419">
        <f>SUMIFS(XLBH!K$2:K$19,XLBH!$B$2:$B$19,'chia CN XLBH'!$C21)</f>
        <v>0</v>
      </c>
      <c r="I21" s="80" t="str">
        <f>'chia CN SX'!V21</f>
        <v>Triệu Minh Tuấn</v>
      </c>
      <c r="J21" s="81">
        <f t="shared" si="3"/>
        <v>0</v>
      </c>
      <c r="K21" s="81">
        <f t="shared" si="4"/>
        <v>0</v>
      </c>
      <c r="L21" s="81">
        <f t="shared" si="5"/>
        <v>0</v>
      </c>
    </row>
    <row r="22" spans="1:12" x14ac:dyDescent="0.25">
      <c r="A22" s="421">
        <v>20</v>
      </c>
      <c r="B22" s="421"/>
      <c r="C22" s="421"/>
      <c r="D22" s="419">
        <f>SUMIFS(XLBH!I$2:I$19,XLBH!$B$2:$B$19,'chia CN XLBH'!$C22)</f>
        <v>0</v>
      </c>
      <c r="E22" s="419">
        <f>SUMIFS(XLBH!J$2:J$19,XLBH!$B$2:$B$19,'chia CN XLBH'!$C22)</f>
        <v>0</v>
      </c>
      <c r="F22" s="419">
        <f>SUMIFS(XLBH!K$2:K$19,XLBH!$B$2:$B$19,'chia CN XLBH'!$C22)</f>
        <v>0</v>
      </c>
      <c r="I22" s="80" t="str">
        <f>'chia CN SX'!V22</f>
        <v>Nguyễn Văn Phụng</v>
      </c>
      <c r="J22" s="81">
        <f t="shared" si="3"/>
        <v>0</v>
      </c>
      <c r="K22" s="81">
        <f t="shared" si="4"/>
        <v>0</v>
      </c>
      <c r="L22" s="81">
        <f t="shared" si="5"/>
        <v>0</v>
      </c>
    </row>
    <row r="23" spans="1:12" x14ac:dyDescent="0.25">
      <c r="A23" s="421">
        <v>21</v>
      </c>
      <c r="B23" s="421"/>
      <c r="C23" s="421"/>
      <c r="D23" s="419">
        <f>SUMIFS(XLBH!I$2:I$19,XLBH!$B$2:$B$19,'chia CN XLBH'!$C23)</f>
        <v>0</v>
      </c>
      <c r="E23" s="419">
        <f>SUMIFS(XLBH!J$2:J$19,XLBH!$B$2:$B$19,'chia CN XLBH'!$C23)</f>
        <v>0</v>
      </c>
      <c r="F23" s="419">
        <f>SUMIFS(XLBH!K$2:K$19,XLBH!$B$2:$B$19,'chia CN XLBH'!$C23)</f>
        <v>0</v>
      </c>
      <c r="I23" s="80" t="e">
        <f>'chia CN SX'!V23</f>
        <v>#REF!</v>
      </c>
      <c r="J23" s="81">
        <f t="shared" si="3"/>
        <v>0</v>
      </c>
      <c r="K23" s="81">
        <f t="shared" si="4"/>
        <v>0</v>
      </c>
      <c r="L23" s="81">
        <f t="shared" si="5"/>
        <v>0</v>
      </c>
    </row>
    <row r="24" spans="1:12" x14ac:dyDescent="0.25">
      <c r="A24" s="421">
        <v>22</v>
      </c>
      <c r="B24" s="421"/>
      <c r="C24" s="421"/>
      <c r="D24" s="419">
        <f>SUMIFS(XLBH!I$2:I$19,XLBH!$B$2:$B$19,'chia CN XLBH'!$C24)</f>
        <v>0</v>
      </c>
      <c r="E24" s="419">
        <f>SUMIFS(XLBH!J$2:J$19,XLBH!$B$2:$B$19,'chia CN XLBH'!$C24)</f>
        <v>0</v>
      </c>
      <c r="F24" s="419">
        <f>SUMIFS(XLBH!K$2:K$19,XLBH!$B$2:$B$19,'chia CN XLBH'!$C24)</f>
        <v>0</v>
      </c>
      <c r="I24" s="80" t="str">
        <f>'chia CN SX'!V24</f>
        <v xml:space="preserve">Nguyễn Minh Tuấn </v>
      </c>
      <c r="J24" s="81">
        <f t="shared" si="3"/>
        <v>0</v>
      </c>
      <c r="K24" s="81">
        <f t="shared" si="4"/>
        <v>0</v>
      </c>
      <c r="L24" s="81">
        <f t="shared" si="5"/>
        <v>0</v>
      </c>
    </row>
    <row r="25" spans="1:12" x14ac:dyDescent="0.25">
      <c r="A25" s="421">
        <v>23</v>
      </c>
      <c r="B25" s="421"/>
      <c r="C25" s="421"/>
      <c r="D25" s="419">
        <f>SUMIFS(XLBH!I$2:I$19,XLBH!$B$2:$B$19,'chia CN XLBH'!$C25)</f>
        <v>0</v>
      </c>
      <c r="E25" s="419">
        <f>SUMIFS(XLBH!J$2:J$19,XLBH!$B$2:$B$19,'chia CN XLBH'!$C25)</f>
        <v>0</v>
      </c>
      <c r="F25" s="419">
        <f>SUMIFS(XLBH!K$2:K$19,XLBH!$B$2:$B$19,'chia CN XLBH'!$C25)</f>
        <v>0</v>
      </c>
      <c r="I25" s="80" t="e">
        <f>'chia CN SX'!V25</f>
        <v>#REF!</v>
      </c>
      <c r="J25" s="81">
        <f t="shared" si="3"/>
        <v>0</v>
      </c>
      <c r="K25" s="81">
        <f t="shared" si="4"/>
        <v>0</v>
      </c>
      <c r="L25" s="81">
        <f t="shared" si="5"/>
        <v>0</v>
      </c>
    </row>
    <row r="26" spans="1:12" x14ac:dyDescent="0.25">
      <c r="A26" s="421">
        <v>24</v>
      </c>
      <c r="B26" s="421"/>
      <c r="C26" s="421"/>
      <c r="D26" s="419">
        <f>SUMIFS(XLBH!I$2:I$19,XLBH!$B$2:$B$19,'chia CN XLBH'!$C26)</f>
        <v>0</v>
      </c>
      <c r="E26" s="419">
        <f>SUMIFS(XLBH!J$2:J$19,XLBH!$B$2:$B$19,'chia CN XLBH'!$C26)</f>
        <v>0</v>
      </c>
      <c r="F26" s="419">
        <f>SUMIFS(XLBH!K$2:K$19,XLBH!$B$2:$B$19,'chia CN XLBH'!$C26)</f>
        <v>0</v>
      </c>
      <c r="I26" s="80" t="str">
        <f>'chia CN SX'!V26</f>
        <v xml:space="preserve">Triệu Bô Na </v>
      </c>
      <c r="J26" s="81">
        <f t="shared" si="3"/>
        <v>0</v>
      </c>
      <c r="K26" s="81">
        <f t="shared" si="4"/>
        <v>0</v>
      </c>
      <c r="L26" s="81">
        <f t="shared" si="5"/>
        <v>0</v>
      </c>
    </row>
    <row r="27" spans="1:12" x14ac:dyDescent="0.25">
      <c r="A27" s="421">
        <v>25</v>
      </c>
      <c r="B27" s="421"/>
      <c r="C27" s="421"/>
      <c r="D27" s="419">
        <f>SUMIFS(XLBH!I$2:I$19,XLBH!$B$2:$B$19,'chia CN XLBH'!$C27)</f>
        <v>0</v>
      </c>
      <c r="E27" s="419">
        <f>SUMIFS(XLBH!J$2:J$19,XLBH!$B$2:$B$19,'chia CN XLBH'!$C27)</f>
        <v>0</v>
      </c>
      <c r="F27" s="419">
        <f>SUMIFS(XLBH!K$2:K$19,XLBH!$B$2:$B$19,'chia CN XLBH'!$C27)</f>
        <v>0</v>
      </c>
      <c r="I27" s="80" t="str">
        <f>'chia CN SX'!V27</f>
        <v xml:space="preserve">Trần Văn Thứ </v>
      </c>
      <c r="J27" s="81">
        <f t="shared" si="3"/>
        <v>0</v>
      </c>
      <c r="K27" s="81">
        <f t="shared" si="4"/>
        <v>0</v>
      </c>
      <c r="L27" s="81">
        <f t="shared" si="5"/>
        <v>0</v>
      </c>
    </row>
    <row r="28" spans="1:12" x14ac:dyDescent="0.25">
      <c r="A28" s="421">
        <v>26</v>
      </c>
      <c r="B28" s="421"/>
      <c r="C28" s="421"/>
      <c r="D28" s="419">
        <f>SUMIFS(XLBH!I$2:I$19,XLBH!$B$2:$B$19,'chia CN XLBH'!$C28)</f>
        <v>0</v>
      </c>
      <c r="E28" s="419">
        <f>SUMIFS(XLBH!J$2:J$19,XLBH!$B$2:$B$19,'chia CN XLBH'!$C28)</f>
        <v>0</v>
      </c>
      <c r="F28" s="419">
        <f>SUMIFS(XLBH!K$2:K$19,XLBH!$B$2:$B$19,'chia CN XLBH'!$C28)</f>
        <v>0</v>
      </c>
      <c r="I28" s="80" t="str">
        <f>'chia CN SX'!V28</f>
        <v>Quách Văn Chánh</v>
      </c>
      <c r="J28" s="81">
        <f t="shared" si="3"/>
        <v>0</v>
      </c>
      <c r="K28" s="81">
        <f t="shared" si="4"/>
        <v>0</v>
      </c>
      <c r="L28" s="81">
        <f t="shared" si="5"/>
        <v>0</v>
      </c>
    </row>
    <row r="29" spans="1:12" x14ac:dyDescent="0.25">
      <c r="A29" s="421">
        <v>27</v>
      </c>
      <c r="B29" s="421"/>
      <c r="C29" s="421"/>
      <c r="D29" s="419">
        <f>SUMIFS(XLBH!I$2:I$19,XLBH!$B$2:$B$19,'chia CN XLBH'!$C29)</f>
        <v>0</v>
      </c>
      <c r="E29" s="419">
        <f>SUMIFS(XLBH!J$2:J$19,XLBH!$B$2:$B$19,'chia CN XLBH'!$C29)</f>
        <v>0</v>
      </c>
      <c r="F29" s="419">
        <f>SUMIFS(XLBH!K$2:K$19,XLBH!$B$2:$B$19,'chia CN XLBH'!$C29)</f>
        <v>0</v>
      </c>
      <c r="I29" s="80" t="str">
        <f>'chia CN SX'!V29</f>
        <v>Nguyễn Tấn Kiệt</v>
      </c>
      <c r="J29" s="81">
        <f t="shared" si="3"/>
        <v>0</v>
      </c>
      <c r="K29" s="81">
        <f t="shared" si="4"/>
        <v>0</v>
      </c>
      <c r="L29" s="81">
        <f t="shared" si="5"/>
        <v>0</v>
      </c>
    </row>
    <row r="30" spans="1:12" x14ac:dyDescent="0.25">
      <c r="A30" s="421">
        <v>28</v>
      </c>
      <c r="B30" s="421"/>
      <c r="C30" s="421"/>
      <c r="D30" s="419">
        <f>SUMIFS(XLBH!I$2:I$19,XLBH!$B$2:$B$19,'chia CN XLBH'!$C30)</f>
        <v>0</v>
      </c>
      <c r="E30" s="419">
        <f>SUMIFS(XLBH!J$2:J$19,XLBH!$B$2:$B$19,'chia CN XLBH'!$C30)</f>
        <v>0</v>
      </c>
      <c r="F30" s="419">
        <f>SUMIFS(XLBH!K$2:K$19,XLBH!$B$2:$B$19,'chia CN XLBH'!$C30)</f>
        <v>0</v>
      </c>
      <c r="I30" s="80" t="e">
        <f>'chia CN SX'!V30</f>
        <v>#REF!</v>
      </c>
      <c r="J30" s="81">
        <f t="shared" si="3"/>
        <v>0</v>
      </c>
      <c r="K30" s="81">
        <f t="shared" si="4"/>
        <v>0</v>
      </c>
      <c r="L30" s="81">
        <f t="shared" si="5"/>
        <v>0</v>
      </c>
    </row>
    <row r="31" spans="1:12" x14ac:dyDescent="0.25">
      <c r="A31" s="421">
        <v>29</v>
      </c>
      <c r="B31" s="421"/>
      <c r="C31" s="421"/>
      <c r="D31" s="419">
        <f>SUMIFS(XLBH!I$2:I$19,XLBH!$B$2:$B$19,'chia CN XLBH'!$C31)</f>
        <v>0</v>
      </c>
      <c r="E31" s="419">
        <f>SUMIFS(XLBH!J$2:J$19,XLBH!$B$2:$B$19,'chia CN XLBH'!$C31)</f>
        <v>0</v>
      </c>
      <c r="F31" s="419">
        <f>SUMIFS(XLBH!K$2:K$19,XLBH!$B$2:$B$19,'chia CN XLBH'!$C31)</f>
        <v>0</v>
      </c>
      <c r="I31" s="80" t="e">
        <f>'chia CN SX'!V31</f>
        <v>#REF!</v>
      </c>
      <c r="J31" s="81">
        <f t="shared" si="3"/>
        <v>0</v>
      </c>
      <c r="K31" s="81">
        <f t="shared" si="4"/>
        <v>0</v>
      </c>
      <c r="L31" s="81">
        <f t="shared" si="5"/>
        <v>0</v>
      </c>
    </row>
    <row r="32" spans="1:12" x14ac:dyDescent="0.25">
      <c r="A32" s="421">
        <v>30</v>
      </c>
      <c r="B32" s="421"/>
      <c r="C32" s="421"/>
      <c r="D32" s="419">
        <f>SUMIFS(XLBH!I$2:I$19,XLBH!$B$2:$B$19,'chia CN XLBH'!$C32)</f>
        <v>0</v>
      </c>
      <c r="E32" s="419">
        <f>SUMIFS(XLBH!J$2:J$19,XLBH!$B$2:$B$19,'chia CN XLBH'!$C32)</f>
        <v>0</v>
      </c>
      <c r="F32" s="419">
        <f>SUMIFS(XLBH!K$2:K$19,XLBH!$B$2:$B$19,'chia CN XLBH'!$C32)</f>
        <v>0</v>
      </c>
      <c r="I32" s="80" t="e">
        <f>'chia CN SX'!V32</f>
        <v>#REF!</v>
      </c>
      <c r="J32" s="81">
        <f t="shared" si="3"/>
        <v>0</v>
      </c>
      <c r="K32" s="81">
        <f t="shared" si="4"/>
        <v>0</v>
      </c>
      <c r="L32" s="81">
        <f t="shared" si="5"/>
        <v>0</v>
      </c>
    </row>
    <row r="33" spans="1:12" x14ac:dyDescent="0.25">
      <c r="A33" s="421">
        <v>31</v>
      </c>
      <c r="B33" s="421"/>
      <c r="C33" s="421"/>
      <c r="D33" s="419">
        <f>SUMIFS(XLBH!I$2:I$19,XLBH!$B$2:$B$19,'chia CN XLBH'!$C33)</f>
        <v>0</v>
      </c>
      <c r="E33" s="419">
        <f>SUMIFS(XLBH!J$2:J$19,XLBH!$B$2:$B$19,'chia CN XLBH'!$C33)</f>
        <v>0</v>
      </c>
      <c r="F33" s="419">
        <f>SUMIFS(XLBH!K$2:K$19,XLBH!$B$2:$B$19,'chia CN XLBH'!$C33)</f>
        <v>0</v>
      </c>
      <c r="I33" s="80" t="e">
        <f>'chia CN SX'!#REF!</f>
        <v>#REF!</v>
      </c>
      <c r="J33" s="81">
        <f t="shared" si="3"/>
        <v>0</v>
      </c>
      <c r="K33" s="81">
        <f t="shared" si="4"/>
        <v>0</v>
      </c>
      <c r="L33" s="81">
        <f t="shared" si="5"/>
        <v>0</v>
      </c>
    </row>
    <row r="34" spans="1:12" x14ac:dyDescent="0.25">
      <c r="A34" s="421">
        <v>32</v>
      </c>
      <c r="B34" s="421"/>
      <c r="C34" s="421"/>
      <c r="D34" s="419">
        <f>SUMIFS(XLBH!I$2:I$19,XLBH!$B$2:$B$19,'chia CN XLBH'!$C34)</f>
        <v>0</v>
      </c>
      <c r="E34" s="419">
        <f>SUMIFS(XLBH!J$2:J$19,XLBH!$B$2:$B$19,'chia CN XLBH'!$C34)</f>
        <v>0</v>
      </c>
      <c r="F34" s="419">
        <f>SUMIFS(XLBH!K$2:K$19,XLBH!$B$2:$B$19,'chia CN XLBH'!$C34)</f>
        <v>0</v>
      </c>
      <c r="I34" s="80" t="e">
        <f>'chia CN SX'!V33</f>
        <v>#REF!</v>
      </c>
      <c r="J34" s="81">
        <f t="shared" si="3"/>
        <v>0</v>
      </c>
      <c r="K34" s="81">
        <f t="shared" si="4"/>
        <v>0</v>
      </c>
      <c r="L34" s="81">
        <f t="shared" si="5"/>
        <v>0</v>
      </c>
    </row>
    <row r="35" spans="1:12" x14ac:dyDescent="0.25">
      <c r="A35" s="421">
        <v>33</v>
      </c>
      <c r="B35" s="421"/>
      <c r="C35" s="421"/>
      <c r="D35" s="419">
        <f>SUMIFS(XLBH!I$2:I$19,XLBH!$B$2:$B$19,'chia CN XLBH'!$C35)</f>
        <v>0</v>
      </c>
      <c r="E35" s="419">
        <f>SUMIFS(XLBH!J$2:J$19,XLBH!$B$2:$B$19,'chia CN XLBH'!$C35)</f>
        <v>0</v>
      </c>
      <c r="F35" s="419">
        <f>SUMIFS(XLBH!K$2:K$19,XLBH!$B$2:$B$19,'chia CN XLBH'!$C35)</f>
        <v>0</v>
      </c>
      <c r="I35" s="80" t="str">
        <f>'chia CN SX'!V34</f>
        <v>Kim Em</v>
      </c>
      <c r="J35" s="81">
        <f t="shared" si="3"/>
        <v>0</v>
      </c>
      <c r="K35" s="81">
        <f t="shared" si="4"/>
        <v>0</v>
      </c>
      <c r="L35" s="81">
        <f t="shared" si="5"/>
        <v>0</v>
      </c>
    </row>
    <row r="36" spans="1:12" x14ac:dyDescent="0.25">
      <c r="A36" s="421">
        <v>34</v>
      </c>
      <c r="B36" s="421"/>
      <c r="C36" s="421"/>
      <c r="D36" s="419">
        <f>SUMIFS(XLBH!I$2:I$19,XLBH!$B$2:$B$19,'chia CN XLBH'!$C36)</f>
        <v>0</v>
      </c>
      <c r="E36" s="419">
        <f>SUMIFS(XLBH!J$2:J$19,XLBH!$B$2:$B$19,'chia CN XLBH'!$C36)</f>
        <v>0</v>
      </c>
      <c r="F36" s="419">
        <f>SUMIFS(XLBH!K$2:K$19,XLBH!$B$2:$B$19,'chia CN XLBH'!$C36)</f>
        <v>0</v>
      </c>
      <c r="I36" s="80" t="e">
        <f>'chia CN SX'!V35</f>
        <v>#REF!</v>
      </c>
      <c r="J36" s="81">
        <f t="shared" si="3"/>
        <v>0</v>
      </c>
      <c r="K36" s="81">
        <f t="shared" si="4"/>
        <v>0</v>
      </c>
      <c r="L36" s="81">
        <f t="shared" si="5"/>
        <v>0</v>
      </c>
    </row>
    <row r="37" spans="1:12" x14ac:dyDescent="0.25">
      <c r="A37" s="421">
        <v>35</v>
      </c>
      <c r="B37" s="421"/>
      <c r="C37" s="421"/>
      <c r="D37" s="419">
        <f>SUMIFS(XLBH!I$2:I$19,XLBH!$B$2:$B$19,'chia CN XLBH'!$C37)</f>
        <v>0</v>
      </c>
      <c r="E37" s="419">
        <f>SUMIFS(XLBH!J$2:J$19,XLBH!$B$2:$B$19,'chia CN XLBH'!$C37)</f>
        <v>0</v>
      </c>
      <c r="F37" s="419">
        <f>SUMIFS(XLBH!K$2:K$19,XLBH!$B$2:$B$19,'chia CN XLBH'!$C37)</f>
        <v>0</v>
      </c>
      <c r="I37" s="80" t="e">
        <f>'chia CN SX'!V36</f>
        <v>#REF!</v>
      </c>
      <c r="J37" s="81">
        <f t="shared" si="3"/>
        <v>0</v>
      </c>
      <c r="K37" s="81">
        <f t="shared" si="4"/>
        <v>0</v>
      </c>
      <c r="L37" s="81">
        <f t="shared" si="5"/>
        <v>0</v>
      </c>
    </row>
    <row r="38" spans="1:12" x14ac:dyDescent="0.25">
      <c r="A38" s="421">
        <v>36</v>
      </c>
      <c r="B38" s="421"/>
      <c r="C38" s="421"/>
      <c r="D38" s="419">
        <f>SUMIFS(XLBH!I$2:I$19,XLBH!$B$2:$B$19,'chia CN XLBH'!$C38)</f>
        <v>0</v>
      </c>
      <c r="E38" s="419">
        <f>SUMIFS(XLBH!J$2:J$19,XLBH!$B$2:$B$19,'chia CN XLBH'!$C38)</f>
        <v>0</v>
      </c>
      <c r="F38" s="419">
        <f>SUMIFS(XLBH!K$2:K$19,XLBH!$B$2:$B$19,'chia CN XLBH'!$C38)</f>
        <v>0</v>
      </c>
      <c r="I38" s="80" t="e">
        <f>'chia CN SX'!V37</f>
        <v>#REF!</v>
      </c>
      <c r="J38" s="81">
        <f t="shared" si="3"/>
        <v>0</v>
      </c>
      <c r="K38" s="81">
        <f t="shared" si="4"/>
        <v>0</v>
      </c>
      <c r="L38" s="81">
        <f t="shared" si="5"/>
        <v>0</v>
      </c>
    </row>
    <row r="39" spans="1:12" x14ac:dyDescent="0.25">
      <c r="A39" s="421">
        <v>37</v>
      </c>
      <c r="B39" s="421"/>
      <c r="C39" s="421"/>
      <c r="D39" s="419">
        <f>SUMIFS(XLBH!I$2:I$19,XLBH!$B$2:$B$19,'chia CN XLBH'!$C39)</f>
        <v>0</v>
      </c>
      <c r="E39" s="419">
        <f>SUMIFS(XLBH!J$2:J$19,XLBH!$B$2:$B$19,'chia CN XLBH'!$C39)</f>
        <v>0</v>
      </c>
      <c r="F39" s="419">
        <f>SUMIFS(XLBH!K$2:K$19,XLBH!$B$2:$B$19,'chia CN XLBH'!$C39)</f>
        <v>0</v>
      </c>
      <c r="I39" s="80" t="e">
        <f>'chia CN SX'!V38</f>
        <v>#REF!</v>
      </c>
      <c r="J39" s="81">
        <f t="shared" si="3"/>
        <v>0</v>
      </c>
      <c r="K39" s="81">
        <f t="shared" si="4"/>
        <v>0</v>
      </c>
      <c r="L39" s="81">
        <f t="shared" si="5"/>
        <v>0</v>
      </c>
    </row>
    <row r="40" spans="1:12" x14ac:dyDescent="0.25">
      <c r="A40" s="421">
        <v>38</v>
      </c>
      <c r="B40" s="421"/>
      <c r="C40" s="421"/>
      <c r="D40" s="419">
        <f>SUMIFS(XLBH!I$2:I$19,XLBH!$B$2:$B$19,'chia CN XLBH'!$C40)</f>
        <v>0</v>
      </c>
      <c r="E40" s="419">
        <f>SUMIFS(XLBH!J$2:J$19,XLBH!$B$2:$B$19,'chia CN XLBH'!$C40)</f>
        <v>0</v>
      </c>
      <c r="F40" s="419">
        <f>SUMIFS(XLBH!K$2:K$19,XLBH!$B$2:$B$19,'chia CN XLBH'!$C40)</f>
        <v>0</v>
      </c>
      <c r="I40" s="80" t="e">
        <f>'chia CN SX'!V39</f>
        <v>#REF!</v>
      </c>
      <c r="J40" s="81">
        <f t="shared" si="3"/>
        <v>0</v>
      </c>
      <c r="K40" s="81">
        <f t="shared" si="4"/>
        <v>0</v>
      </c>
      <c r="L40" s="81">
        <f t="shared" si="5"/>
        <v>0</v>
      </c>
    </row>
    <row r="41" spans="1:12" x14ac:dyDescent="0.25">
      <c r="A41" s="421">
        <v>39</v>
      </c>
      <c r="B41" s="421"/>
      <c r="C41" s="421"/>
      <c r="D41" s="419">
        <f>SUMIFS(XLBH!I$2:I$19,XLBH!$B$2:$B$19,'chia CN XLBH'!$C41)</f>
        <v>0</v>
      </c>
      <c r="E41" s="419">
        <f>SUMIFS(XLBH!J$2:J$19,XLBH!$B$2:$B$19,'chia CN XLBH'!$C41)</f>
        <v>0</v>
      </c>
      <c r="F41" s="419">
        <f>SUMIFS(XLBH!K$2:K$19,XLBH!$B$2:$B$19,'chia CN XLBH'!$C41)</f>
        <v>0</v>
      </c>
      <c r="I41" s="80" t="e">
        <f>'chia CN SX'!V40</f>
        <v>#REF!</v>
      </c>
      <c r="J41" s="81">
        <f t="shared" si="3"/>
        <v>0</v>
      </c>
      <c r="K41" s="81">
        <f t="shared" si="4"/>
        <v>0</v>
      </c>
      <c r="L41" s="81">
        <f t="shared" si="5"/>
        <v>0</v>
      </c>
    </row>
    <row r="42" spans="1:12" x14ac:dyDescent="0.25">
      <c r="A42" s="421">
        <v>40</v>
      </c>
      <c r="B42" s="421"/>
      <c r="C42" s="421"/>
      <c r="D42" s="419">
        <f>SUMIFS(XLBH!I$2:I$19,XLBH!$B$2:$B$19,'chia CN XLBH'!$C42)</f>
        <v>0</v>
      </c>
      <c r="E42" s="419">
        <f>SUMIFS(XLBH!J$2:J$19,XLBH!$B$2:$B$19,'chia CN XLBH'!$C42)</f>
        <v>0</v>
      </c>
      <c r="F42" s="419">
        <f>SUMIFS(XLBH!K$2:K$19,XLBH!$B$2:$B$19,'chia CN XLBH'!$C42)</f>
        <v>0</v>
      </c>
      <c r="I42" s="80" t="e">
        <f>'chia CN SX'!V41</f>
        <v>#REF!</v>
      </c>
      <c r="J42" s="81">
        <f t="shared" si="3"/>
        <v>0</v>
      </c>
      <c r="K42" s="81">
        <f t="shared" si="4"/>
        <v>0</v>
      </c>
      <c r="L42" s="81">
        <f t="shared" si="5"/>
        <v>0</v>
      </c>
    </row>
    <row r="43" spans="1:12" x14ac:dyDescent="0.25">
      <c r="A43" s="421">
        <v>41</v>
      </c>
      <c r="B43" s="421"/>
      <c r="C43" s="421"/>
      <c r="D43" s="419">
        <f>SUMIFS(XLBH!I$2:I$19,XLBH!$B$2:$B$19,'chia CN XLBH'!$C43)</f>
        <v>0</v>
      </c>
      <c r="E43" s="419">
        <f>SUMIFS(XLBH!J$2:J$19,XLBH!$B$2:$B$19,'chia CN XLBH'!$C43)</f>
        <v>0</v>
      </c>
      <c r="F43" s="419">
        <f>SUMIFS(XLBH!K$2:K$19,XLBH!$B$2:$B$19,'chia CN XLBH'!$C43)</f>
        <v>0</v>
      </c>
      <c r="I43" s="80" t="e">
        <f>'chia CN SX'!V42</f>
        <v>#REF!</v>
      </c>
      <c r="J43" s="81">
        <f t="shared" si="3"/>
        <v>0</v>
      </c>
      <c r="K43" s="81">
        <f t="shared" si="4"/>
        <v>0</v>
      </c>
      <c r="L43" s="81">
        <f t="shared" si="5"/>
        <v>0</v>
      </c>
    </row>
    <row r="44" spans="1:12" x14ac:dyDescent="0.25">
      <c r="A44" s="421">
        <v>42</v>
      </c>
      <c r="B44" s="421"/>
      <c r="C44" s="421"/>
      <c r="D44" s="419">
        <f>SUMIFS(XLBH!I$2:I$19,XLBH!$B$2:$B$19,'chia CN XLBH'!$C44)</f>
        <v>0</v>
      </c>
      <c r="E44" s="419">
        <f>SUMIFS(XLBH!J$2:J$19,XLBH!$B$2:$B$19,'chia CN XLBH'!$C44)</f>
        <v>0</v>
      </c>
      <c r="F44" s="419">
        <f>SUMIFS(XLBH!K$2:K$19,XLBH!$B$2:$B$19,'chia CN XLBH'!$C44)</f>
        <v>0</v>
      </c>
      <c r="I44" s="80" t="e">
        <f>'chia CN SX'!V43</f>
        <v>#REF!</v>
      </c>
      <c r="J44" s="81">
        <f t="shared" si="3"/>
        <v>0</v>
      </c>
      <c r="K44" s="81">
        <f t="shared" si="4"/>
        <v>0</v>
      </c>
      <c r="L44" s="81">
        <f t="shared" si="5"/>
        <v>0</v>
      </c>
    </row>
    <row r="45" spans="1:12" x14ac:dyDescent="0.25">
      <c r="A45" s="421">
        <v>43</v>
      </c>
      <c r="B45" s="421"/>
      <c r="C45" s="421"/>
      <c r="D45" s="419">
        <f>SUMIFS(XLBH!I$2:I$19,XLBH!$B$2:$B$19,'chia CN XLBH'!$C45)</f>
        <v>0</v>
      </c>
      <c r="E45" s="419">
        <f>SUMIFS(XLBH!J$2:J$19,XLBH!$B$2:$B$19,'chia CN XLBH'!$C45)</f>
        <v>0</v>
      </c>
      <c r="F45" s="419">
        <f>SUMIFS(XLBH!K$2:K$19,XLBH!$B$2:$B$19,'chia CN XLBH'!$C45)</f>
        <v>0</v>
      </c>
      <c r="I45" s="80" t="e">
        <f>'chia CN SX'!V44</f>
        <v>#REF!</v>
      </c>
      <c r="J45" s="81">
        <f t="shared" si="3"/>
        <v>0</v>
      </c>
      <c r="K45" s="81">
        <f t="shared" si="4"/>
        <v>0</v>
      </c>
      <c r="L45" s="81">
        <f t="shared" si="5"/>
        <v>0</v>
      </c>
    </row>
    <row r="46" spans="1:12" x14ac:dyDescent="0.25">
      <c r="A46" s="421">
        <v>44</v>
      </c>
      <c r="B46" s="421"/>
      <c r="C46" s="421"/>
      <c r="D46" s="419">
        <f>SUMIFS(XLBH!I$2:I$19,XLBH!$B$2:$B$19,'chia CN XLBH'!$C46)</f>
        <v>0</v>
      </c>
      <c r="E46" s="419">
        <f>SUMIFS(XLBH!J$2:J$19,XLBH!$B$2:$B$19,'chia CN XLBH'!$C46)</f>
        <v>0</v>
      </c>
      <c r="F46" s="419">
        <f>SUMIFS(XLBH!K$2:K$19,XLBH!$B$2:$B$19,'chia CN XLBH'!$C46)</f>
        <v>0</v>
      </c>
      <c r="I46" s="80" t="e">
        <f>'chia CN SX'!V45</f>
        <v>#REF!</v>
      </c>
      <c r="J46" s="81">
        <f t="shared" si="3"/>
        <v>0</v>
      </c>
      <c r="K46" s="81">
        <f t="shared" si="4"/>
        <v>0</v>
      </c>
      <c r="L46" s="81">
        <f t="shared" si="5"/>
        <v>0</v>
      </c>
    </row>
    <row r="47" spans="1:12" x14ac:dyDescent="0.25">
      <c r="A47" s="421">
        <v>45</v>
      </c>
      <c r="B47" s="421"/>
      <c r="C47" s="421"/>
      <c r="D47" s="419">
        <f>SUMIFS(XLBH!I$2:I$19,XLBH!$B$2:$B$19,'chia CN XLBH'!$C47)</f>
        <v>0</v>
      </c>
      <c r="E47" s="419">
        <f>SUMIFS(XLBH!J$2:J$19,XLBH!$B$2:$B$19,'chia CN XLBH'!$C47)</f>
        <v>0</v>
      </c>
      <c r="F47" s="419">
        <f>SUMIFS(XLBH!K$2:K$19,XLBH!$B$2:$B$19,'chia CN XLBH'!$C47)</f>
        <v>0</v>
      </c>
      <c r="I47" s="80" t="e">
        <f>'chia CN SX'!V46</f>
        <v>#REF!</v>
      </c>
      <c r="J47" s="81">
        <f t="shared" si="3"/>
        <v>0</v>
      </c>
      <c r="K47" s="81">
        <f t="shared" si="4"/>
        <v>0</v>
      </c>
      <c r="L47" s="81">
        <f t="shared" si="5"/>
        <v>0</v>
      </c>
    </row>
    <row r="48" spans="1:12" x14ac:dyDescent="0.25">
      <c r="A48" s="421">
        <v>46</v>
      </c>
      <c r="B48" s="421"/>
      <c r="C48" s="421"/>
      <c r="D48" s="419">
        <f>SUMIFS(XLBH!I$2:I$19,XLBH!$B$2:$B$19,'chia CN XLBH'!$C48)</f>
        <v>0</v>
      </c>
      <c r="E48" s="419">
        <f>SUMIFS(XLBH!J$2:J$19,XLBH!$B$2:$B$19,'chia CN XLBH'!$C48)</f>
        <v>0</v>
      </c>
      <c r="F48" s="419">
        <f>SUMIFS(XLBH!K$2:K$19,XLBH!$B$2:$B$19,'chia CN XLBH'!$C48)</f>
        <v>0</v>
      </c>
      <c r="I48" s="80" t="e">
        <f>'chia CN SX'!V47</f>
        <v>#REF!</v>
      </c>
      <c r="J48" s="81">
        <f t="shared" si="3"/>
        <v>0</v>
      </c>
      <c r="K48" s="81">
        <f t="shared" si="4"/>
        <v>0</v>
      </c>
      <c r="L48" s="81">
        <f t="shared" si="5"/>
        <v>0</v>
      </c>
    </row>
    <row r="49" spans="1:12" x14ac:dyDescent="0.25">
      <c r="A49" s="421">
        <v>47</v>
      </c>
      <c r="B49" s="421"/>
      <c r="C49" s="421"/>
      <c r="D49" s="419">
        <f>SUMIFS(XLBH!I$2:I$19,XLBH!$B$2:$B$19,'chia CN XLBH'!$C49)</f>
        <v>0</v>
      </c>
      <c r="E49" s="419">
        <f>SUMIFS(XLBH!J$2:J$19,XLBH!$B$2:$B$19,'chia CN XLBH'!$C49)</f>
        <v>0</v>
      </c>
      <c r="F49" s="419">
        <f>SUMIFS(XLBH!K$2:K$19,XLBH!$B$2:$B$19,'chia CN XLBH'!$C49)</f>
        <v>0</v>
      </c>
      <c r="I49" s="80" t="e">
        <f>'chia CN SX'!V48</f>
        <v>#REF!</v>
      </c>
      <c r="J49" s="81">
        <f t="shared" si="3"/>
        <v>0</v>
      </c>
      <c r="K49" s="81">
        <f t="shared" si="4"/>
        <v>0</v>
      </c>
      <c r="L49" s="81">
        <f t="shared" si="5"/>
        <v>0</v>
      </c>
    </row>
    <row r="50" spans="1:12" x14ac:dyDescent="0.25">
      <c r="A50" s="421">
        <v>48</v>
      </c>
      <c r="B50" s="421"/>
      <c r="C50" s="421"/>
      <c r="D50" s="419">
        <f>SUMIFS(XLBH!I$2:I$19,XLBH!$B$2:$B$19,'chia CN XLBH'!$C50)</f>
        <v>0</v>
      </c>
      <c r="E50" s="419">
        <f>SUMIFS(XLBH!J$2:J$19,XLBH!$B$2:$B$19,'chia CN XLBH'!$C50)</f>
        <v>0</v>
      </c>
      <c r="F50" s="419">
        <f>SUMIFS(XLBH!K$2:K$19,XLBH!$B$2:$B$19,'chia CN XLBH'!$C50)</f>
        <v>0</v>
      </c>
      <c r="I50" s="80" t="e">
        <f>'chia CN SX'!V49</f>
        <v>#REF!</v>
      </c>
      <c r="J50" s="81">
        <f t="shared" si="3"/>
        <v>0</v>
      </c>
      <c r="K50" s="81">
        <f t="shared" si="4"/>
        <v>0</v>
      </c>
      <c r="L50" s="81">
        <f t="shared" si="5"/>
        <v>0</v>
      </c>
    </row>
    <row r="51" spans="1:12" x14ac:dyDescent="0.25">
      <c r="A51" s="421">
        <v>49</v>
      </c>
      <c r="B51" s="421"/>
      <c r="C51" s="421"/>
      <c r="D51" s="419">
        <f>SUMIFS(XLBH!I$2:I$19,XLBH!$B$2:$B$19,'chia CN XLBH'!$C51)</f>
        <v>0</v>
      </c>
      <c r="E51" s="419">
        <f>SUMIFS(XLBH!J$2:J$19,XLBH!$B$2:$B$19,'chia CN XLBH'!$C51)</f>
        <v>0</v>
      </c>
      <c r="F51" s="419">
        <f>SUMIFS(XLBH!K$2:K$19,XLBH!$B$2:$B$19,'chia CN XLBH'!$C51)</f>
        <v>0</v>
      </c>
      <c r="I51" s="80" t="e">
        <f>'chia CN SX'!V50</f>
        <v>#REF!</v>
      </c>
      <c r="J51" s="81">
        <f t="shared" si="3"/>
        <v>0</v>
      </c>
      <c r="K51" s="81">
        <f t="shared" si="4"/>
        <v>0</v>
      </c>
      <c r="L51" s="81">
        <f t="shared" si="5"/>
        <v>0</v>
      </c>
    </row>
    <row r="52" spans="1:12" x14ac:dyDescent="0.25">
      <c r="A52" s="421">
        <v>50</v>
      </c>
      <c r="B52" s="421"/>
      <c r="C52" s="421"/>
      <c r="D52" s="419">
        <f>SUMIFS(XLBH!I$2:I$19,XLBH!$B$2:$B$19,'chia CN XLBH'!$C52)</f>
        <v>0</v>
      </c>
      <c r="E52" s="419">
        <f>SUMIFS(XLBH!J$2:J$19,XLBH!$B$2:$B$19,'chia CN XLBH'!$C52)</f>
        <v>0</v>
      </c>
      <c r="F52" s="419">
        <f>SUMIFS(XLBH!K$2:K$19,XLBH!$B$2:$B$19,'chia CN XLBH'!$C52)</f>
        <v>0</v>
      </c>
      <c r="I52" s="80" t="e">
        <f>'chia CN SX'!V51</f>
        <v>#REF!</v>
      </c>
      <c r="J52" s="81">
        <f t="shared" si="3"/>
        <v>0</v>
      </c>
      <c r="K52" s="81">
        <f t="shared" si="4"/>
        <v>0</v>
      </c>
      <c r="L52" s="81">
        <f t="shared" si="5"/>
        <v>0</v>
      </c>
    </row>
    <row r="53" spans="1:12" x14ac:dyDescent="0.25">
      <c r="A53" s="421">
        <v>51</v>
      </c>
      <c r="B53" s="421"/>
      <c r="C53" s="421"/>
      <c r="D53" s="419">
        <f>SUMIFS(XLBH!I$2:I$19,XLBH!$B$2:$B$19,'chia CN XLBH'!$C53)</f>
        <v>0</v>
      </c>
      <c r="E53" s="419">
        <f>SUMIFS(XLBH!J$2:J$19,XLBH!$B$2:$B$19,'chia CN XLBH'!$C53)</f>
        <v>0</v>
      </c>
      <c r="F53" s="419">
        <f>SUMIFS(XLBH!K$2:K$19,XLBH!$B$2:$B$19,'chia CN XLBH'!$C53)</f>
        <v>0</v>
      </c>
      <c r="I53" s="80" t="e">
        <f>'chia CN SX'!V52</f>
        <v>#REF!</v>
      </c>
      <c r="J53" s="81">
        <f t="shared" si="3"/>
        <v>0</v>
      </c>
      <c r="K53" s="81">
        <f t="shared" si="4"/>
        <v>0</v>
      </c>
      <c r="L53" s="81">
        <f t="shared" si="5"/>
        <v>0</v>
      </c>
    </row>
    <row r="54" spans="1:12" x14ac:dyDescent="0.25">
      <c r="A54" s="421">
        <v>52</v>
      </c>
      <c r="B54" s="421"/>
      <c r="C54" s="421"/>
      <c r="D54" s="419">
        <f>SUMIFS(XLBH!I$2:I$19,XLBH!$B$2:$B$19,'chia CN XLBH'!$C54)</f>
        <v>0</v>
      </c>
      <c r="E54" s="419">
        <f>SUMIFS(XLBH!J$2:J$19,XLBH!$B$2:$B$19,'chia CN XLBH'!$C54)</f>
        <v>0</v>
      </c>
      <c r="F54" s="419">
        <f>SUMIFS(XLBH!K$2:K$19,XLBH!$B$2:$B$19,'chia CN XLBH'!$C54)</f>
        <v>0</v>
      </c>
      <c r="I54" s="80" t="e">
        <f>'chia CN SX'!V53</f>
        <v>#REF!</v>
      </c>
      <c r="J54" s="81">
        <f t="shared" si="3"/>
        <v>0</v>
      </c>
      <c r="K54" s="81">
        <f t="shared" si="4"/>
        <v>0</v>
      </c>
      <c r="L54" s="81">
        <f t="shared" si="5"/>
        <v>0</v>
      </c>
    </row>
    <row r="55" spans="1:12" x14ac:dyDescent="0.25">
      <c r="A55" s="421">
        <v>53</v>
      </c>
      <c r="B55" s="421"/>
      <c r="C55" s="421"/>
      <c r="D55" s="419">
        <f>SUMIFS(XLBH!I$2:I$19,XLBH!$B$2:$B$19,'chia CN XLBH'!$C55)</f>
        <v>0</v>
      </c>
      <c r="E55" s="419">
        <f>SUMIFS(XLBH!J$2:J$19,XLBH!$B$2:$B$19,'chia CN XLBH'!$C55)</f>
        <v>0</v>
      </c>
      <c r="F55" s="419">
        <f>SUMIFS(XLBH!K$2:K$19,XLBH!$B$2:$B$19,'chia CN XLBH'!$C55)</f>
        <v>0</v>
      </c>
      <c r="I55" s="80" t="e">
        <f>'chia CN SX'!V54</f>
        <v>#REF!</v>
      </c>
      <c r="J55" s="81">
        <f t="shared" si="3"/>
        <v>0</v>
      </c>
      <c r="K55" s="81">
        <f t="shared" si="4"/>
        <v>0</v>
      </c>
      <c r="L55" s="81">
        <f t="shared" si="5"/>
        <v>0</v>
      </c>
    </row>
    <row r="56" spans="1:12" x14ac:dyDescent="0.25">
      <c r="A56" s="421">
        <v>54</v>
      </c>
      <c r="B56" s="421"/>
      <c r="C56" s="421"/>
      <c r="D56" s="419">
        <f>SUMIFS(XLBH!I$2:I$19,XLBH!$B$2:$B$19,'chia CN XLBH'!$C56)</f>
        <v>0</v>
      </c>
      <c r="E56" s="419">
        <f>SUMIFS(XLBH!J$2:J$19,XLBH!$B$2:$B$19,'chia CN XLBH'!$C56)</f>
        <v>0</v>
      </c>
      <c r="F56" s="419">
        <f>SUMIFS(XLBH!K$2:K$19,XLBH!$B$2:$B$19,'chia CN XLBH'!$C56)</f>
        <v>0</v>
      </c>
      <c r="I56" s="80" t="str">
        <f>'chia CN SX'!V55</f>
        <v>Trần văn Nguyện</v>
      </c>
      <c r="J56" s="81">
        <f t="shared" si="3"/>
        <v>0</v>
      </c>
      <c r="K56" s="81">
        <f t="shared" si="4"/>
        <v>0</v>
      </c>
      <c r="L56" s="81">
        <f t="shared" si="5"/>
        <v>0</v>
      </c>
    </row>
    <row r="57" spans="1:12" x14ac:dyDescent="0.25">
      <c r="A57" s="421">
        <v>55</v>
      </c>
      <c r="B57" s="421"/>
      <c r="C57" s="421"/>
      <c r="D57" s="419">
        <f>SUMIFS(XLBH!I$2:I$19,XLBH!$B$2:$B$19,'chia CN XLBH'!$C57)</f>
        <v>0</v>
      </c>
      <c r="E57" s="419">
        <f>SUMIFS(XLBH!J$2:J$19,XLBH!$B$2:$B$19,'chia CN XLBH'!$C57)</f>
        <v>0</v>
      </c>
      <c r="F57" s="419">
        <f>SUMIFS(XLBH!K$2:K$19,XLBH!$B$2:$B$19,'chia CN XLBH'!$C57)</f>
        <v>0</v>
      </c>
      <c r="I57" s="80" t="e">
        <f>'chia CN SX'!V56</f>
        <v>#REF!</v>
      </c>
      <c r="J57" s="81">
        <f t="shared" si="3"/>
        <v>0</v>
      </c>
      <c r="K57" s="81">
        <f t="shared" si="4"/>
        <v>0</v>
      </c>
      <c r="L57" s="81">
        <f t="shared" si="5"/>
        <v>0</v>
      </c>
    </row>
    <row r="58" spans="1:12" x14ac:dyDescent="0.25">
      <c r="A58" s="421">
        <v>56</v>
      </c>
      <c r="B58" s="421"/>
      <c r="C58" s="421"/>
      <c r="D58" s="419">
        <f>SUMIFS(XLBH!I$2:I$19,XLBH!$B$2:$B$19,'chia CN XLBH'!$C58)</f>
        <v>0</v>
      </c>
      <c r="E58" s="419">
        <f>SUMIFS(XLBH!J$2:J$19,XLBH!$B$2:$B$19,'chia CN XLBH'!$C58)</f>
        <v>0</v>
      </c>
      <c r="F58" s="419">
        <f>SUMIFS(XLBH!K$2:K$19,XLBH!$B$2:$B$19,'chia CN XLBH'!$C58)</f>
        <v>0</v>
      </c>
      <c r="I58" s="80" t="e">
        <f>'chia CN SX'!V57</f>
        <v>#REF!</v>
      </c>
      <c r="J58" s="81">
        <f t="shared" si="3"/>
        <v>0</v>
      </c>
      <c r="K58" s="81">
        <f t="shared" si="4"/>
        <v>0</v>
      </c>
      <c r="L58" s="81">
        <f t="shared" si="5"/>
        <v>0</v>
      </c>
    </row>
    <row r="59" spans="1:12" x14ac:dyDescent="0.25">
      <c r="A59" s="421">
        <v>57</v>
      </c>
      <c r="B59" s="421"/>
      <c r="C59" s="421"/>
      <c r="D59" s="419">
        <f>SUMIFS(XLBH!I$2:I$19,XLBH!$B$2:$B$19,'chia CN XLBH'!$C59)</f>
        <v>0</v>
      </c>
      <c r="E59" s="419">
        <f>SUMIFS(XLBH!J$2:J$19,XLBH!$B$2:$B$19,'chia CN XLBH'!$C59)</f>
        <v>0</v>
      </c>
      <c r="F59" s="419">
        <f>SUMIFS(XLBH!K$2:K$19,XLBH!$B$2:$B$19,'chia CN XLBH'!$C59)</f>
        <v>0</v>
      </c>
      <c r="I59" s="80" t="e">
        <f>'chia CN SX'!V58</f>
        <v>#REF!</v>
      </c>
      <c r="J59" s="81">
        <f t="shared" si="3"/>
        <v>0</v>
      </c>
      <c r="K59" s="81">
        <f t="shared" si="4"/>
        <v>0</v>
      </c>
      <c r="L59" s="81">
        <f t="shared" si="5"/>
        <v>0</v>
      </c>
    </row>
    <row r="60" spans="1:12" x14ac:dyDescent="0.25">
      <c r="A60" s="421">
        <v>58</v>
      </c>
      <c r="B60" s="421"/>
      <c r="C60" s="421"/>
      <c r="D60" s="419">
        <f>SUMIFS(XLBH!I$2:I$19,XLBH!$B$2:$B$19,'chia CN XLBH'!$C60)</f>
        <v>0</v>
      </c>
      <c r="E60" s="419">
        <f>SUMIFS(XLBH!J$2:J$19,XLBH!$B$2:$B$19,'chia CN XLBH'!$C60)</f>
        <v>0</v>
      </c>
      <c r="F60" s="419">
        <f>SUMIFS(XLBH!K$2:K$19,XLBH!$B$2:$B$19,'chia CN XLBH'!$C60)</f>
        <v>0</v>
      </c>
      <c r="I60" s="80" t="e">
        <f>'chia CN SX'!V59</f>
        <v>#REF!</v>
      </c>
      <c r="J60" s="81">
        <f t="shared" si="3"/>
        <v>0</v>
      </c>
      <c r="K60" s="81">
        <f t="shared" si="4"/>
        <v>0</v>
      </c>
      <c r="L60" s="81">
        <f t="shared" si="5"/>
        <v>0</v>
      </c>
    </row>
    <row r="61" spans="1:12" x14ac:dyDescent="0.25">
      <c r="A61" s="421">
        <v>59</v>
      </c>
      <c r="B61" s="421"/>
      <c r="C61" s="421"/>
      <c r="D61" s="419">
        <f>SUMIFS(XLBH!I$2:I$19,XLBH!$B$2:$B$19,'chia CN XLBH'!$C61)</f>
        <v>0</v>
      </c>
      <c r="E61" s="419">
        <f>SUMIFS(XLBH!J$2:J$19,XLBH!$B$2:$B$19,'chia CN XLBH'!$C61)</f>
        <v>0</v>
      </c>
      <c r="F61" s="419">
        <f>SUMIFS(XLBH!K$2:K$19,XLBH!$B$2:$B$19,'chia CN XLBH'!$C61)</f>
        <v>0</v>
      </c>
      <c r="I61" s="80" t="e">
        <f>'chia CN SX'!V60</f>
        <v>#REF!</v>
      </c>
      <c r="J61" s="81">
        <f t="shared" si="3"/>
        <v>0</v>
      </c>
      <c r="K61" s="81">
        <f t="shared" si="4"/>
        <v>0</v>
      </c>
      <c r="L61" s="81">
        <f t="shared" si="5"/>
        <v>0</v>
      </c>
    </row>
    <row r="62" spans="1:12" x14ac:dyDescent="0.25">
      <c r="A62" s="421">
        <v>60</v>
      </c>
      <c r="B62" s="421"/>
      <c r="C62" s="421"/>
      <c r="D62" s="419">
        <f>SUMIFS(XLBH!I$2:I$19,XLBH!$B$2:$B$19,'chia CN XLBH'!$C62)</f>
        <v>0</v>
      </c>
      <c r="E62" s="419">
        <f>SUMIFS(XLBH!J$2:J$19,XLBH!$B$2:$B$19,'chia CN XLBH'!$C62)</f>
        <v>0</v>
      </c>
      <c r="F62" s="419">
        <f>SUMIFS(XLBH!K$2:K$19,XLBH!$B$2:$B$19,'chia CN XLBH'!$C62)</f>
        <v>0</v>
      </c>
      <c r="I62" s="80" t="e">
        <f>'chia CN SX'!V61</f>
        <v>#REF!</v>
      </c>
      <c r="J62" s="81">
        <f t="shared" si="3"/>
        <v>0</v>
      </c>
      <c r="K62" s="81">
        <f t="shared" si="4"/>
        <v>0</v>
      </c>
      <c r="L62" s="81">
        <f t="shared" si="5"/>
        <v>0</v>
      </c>
    </row>
    <row r="63" spans="1:12" x14ac:dyDescent="0.25">
      <c r="A63" s="421">
        <v>61</v>
      </c>
      <c r="B63" s="421"/>
      <c r="C63" s="421"/>
      <c r="D63" s="419">
        <f>SUMIFS(XLBH!I$2:I$19,XLBH!$B$2:$B$19,'chia CN XLBH'!$C63)</f>
        <v>0</v>
      </c>
      <c r="E63" s="419">
        <f>SUMIFS(XLBH!J$2:J$19,XLBH!$B$2:$B$19,'chia CN XLBH'!$C63)</f>
        <v>0</v>
      </c>
      <c r="F63" s="419">
        <f>SUMIFS(XLBH!K$2:K$19,XLBH!$B$2:$B$19,'chia CN XLBH'!$C63)</f>
        <v>0</v>
      </c>
      <c r="I63" s="80" t="e">
        <f>'chia CN SX'!V62</f>
        <v>#REF!</v>
      </c>
      <c r="J63" s="81">
        <f t="shared" si="3"/>
        <v>0</v>
      </c>
      <c r="K63" s="81">
        <f t="shared" si="4"/>
        <v>0</v>
      </c>
      <c r="L63" s="81">
        <f t="shared" si="5"/>
        <v>0</v>
      </c>
    </row>
    <row r="64" spans="1:12" x14ac:dyDescent="0.25">
      <c r="A64" s="421">
        <v>62</v>
      </c>
      <c r="B64" s="421"/>
      <c r="C64" s="421"/>
      <c r="D64" s="419">
        <f>SUMIFS(XLBH!I$2:I$19,XLBH!$B$2:$B$19,'chia CN XLBH'!$C64)</f>
        <v>0</v>
      </c>
      <c r="E64" s="419">
        <f>SUMIFS(XLBH!J$2:J$19,XLBH!$B$2:$B$19,'chia CN XLBH'!$C64)</f>
        <v>0</v>
      </c>
      <c r="F64" s="419">
        <f>SUMIFS(XLBH!K$2:K$19,XLBH!$B$2:$B$19,'chia CN XLBH'!$C64)</f>
        <v>0</v>
      </c>
      <c r="I64" s="80" t="e">
        <f>'chia CN SX'!V63</f>
        <v>#REF!</v>
      </c>
      <c r="J64" s="81">
        <f t="shared" si="3"/>
        <v>0</v>
      </c>
      <c r="K64" s="81">
        <f t="shared" si="4"/>
        <v>0</v>
      </c>
      <c r="L64" s="81">
        <f t="shared" si="5"/>
        <v>0</v>
      </c>
    </row>
    <row r="65" spans="1:12" x14ac:dyDescent="0.25">
      <c r="A65" s="421">
        <v>63</v>
      </c>
      <c r="B65" s="421"/>
      <c r="C65" s="421"/>
      <c r="D65" s="419">
        <f>SUMIFS(XLBH!I$2:I$19,XLBH!$B$2:$B$19,'chia CN XLBH'!$C65)</f>
        <v>0</v>
      </c>
      <c r="E65" s="419">
        <f>SUMIFS(XLBH!J$2:J$19,XLBH!$B$2:$B$19,'chia CN XLBH'!$C65)</f>
        <v>0</v>
      </c>
      <c r="F65" s="419">
        <f>SUMIFS(XLBH!K$2:K$19,XLBH!$B$2:$B$19,'chia CN XLBH'!$C65)</f>
        <v>0</v>
      </c>
      <c r="I65" s="80" t="e">
        <f>'chia CN SX'!V64</f>
        <v>#REF!</v>
      </c>
      <c r="J65" s="81">
        <f t="shared" si="3"/>
        <v>0</v>
      </c>
      <c r="K65" s="81">
        <f t="shared" si="4"/>
        <v>0</v>
      </c>
      <c r="L65" s="81">
        <f t="shared" si="5"/>
        <v>0</v>
      </c>
    </row>
    <row r="66" spans="1:12" x14ac:dyDescent="0.25">
      <c r="A66" s="421">
        <v>64</v>
      </c>
      <c r="B66" s="421"/>
      <c r="C66" s="421"/>
      <c r="D66" s="419">
        <f>SUMIFS(XLBH!I$2:I$19,XLBH!$B$2:$B$19,'chia CN XLBH'!$C66)</f>
        <v>0</v>
      </c>
      <c r="E66" s="419">
        <f>SUMIFS(XLBH!J$2:J$19,XLBH!$B$2:$B$19,'chia CN XLBH'!$C66)</f>
        <v>0</v>
      </c>
      <c r="F66" s="419">
        <f>SUMIFS(XLBH!K$2:K$19,XLBH!$B$2:$B$19,'chia CN XLBH'!$C66)</f>
        <v>0</v>
      </c>
      <c r="I66" s="80" t="e">
        <f>'chia CN SX'!V65</f>
        <v>#REF!</v>
      </c>
      <c r="J66" s="81">
        <f t="shared" si="3"/>
        <v>0</v>
      </c>
      <c r="K66" s="81">
        <f t="shared" si="4"/>
        <v>0</v>
      </c>
      <c r="L66" s="81">
        <f t="shared" si="5"/>
        <v>0</v>
      </c>
    </row>
    <row r="67" spans="1:12" x14ac:dyDescent="0.25">
      <c r="A67" s="421">
        <v>65</v>
      </c>
      <c r="B67" s="421"/>
      <c r="C67" s="421"/>
      <c r="D67" s="419">
        <f>SUMIFS(XLBH!I$2:I$19,XLBH!$B$2:$B$19,'chia CN XLBH'!$C67)</f>
        <v>0</v>
      </c>
      <c r="E67" s="419">
        <f>SUMIFS(XLBH!J$2:J$19,XLBH!$B$2:$B$19,'chia CN XLBH'!$C67)</f>
        <v>0</v>
      </c>
      <c r="F67" s="419">
        <f>SUMIFS(XLBH!K$2:K$19,XLBH!$B$2:$B$19,'chia CN XLBH'!$C67)</f>
        <v>0</v>
      </c>
      <c r="I67" s="80" t="e">
        <f>'chia CN SX'!V66</f>
        <v>#REF!</v>
      </c>
      <c r="J67" s="81">
        <f t="shared" si="3"/>
        <v>0</v>
      </c>
      <c r="K67" s="81">
        <f t="shared" si="4"/>
        <v>0</v>
      </c>
      <c r="L67" s="81">
        <f t="shared" si="5"/>
        <v>0</v>
      </c>
    </row>
    <row r="68" spans="1:12" x14ac:dyDescent="0.25">
      <c r="A68" s="421">
        <v>66</v>
      </c>
      <c r="B68" s="421"/>
      <c r="C68" s="421"/>
      <c r="D68" s="419">
        <f>SUMIFS(XLBH!I$2:I$19,XLBH!$B$2:$B$19,'chia CN XLBH'!$C68)</f>
        <v>0</v>
      </c>
      <c r="E68" s="419">
        <f>SUMIFS(XLBH!J$2:J$19,XLBH!$B$2:$B$19,'chia CN XLBH'!$C68)</f>
        <v>0</v>
      </c>
      <c r="F68" s="419">
        <f>SUMIFS(XLBH!K$2:K$19,XLBH!$B$2:$B$19,'chia CN XLBH'!$C68)</f>
        <v>0</v>
      </c>
      <c r="I68" s="80" t="e">
        <f>'chia CN SX'!V67</f>
        <v>#REF!</v>
      </c>
      <c r="J68" s="81">
        <f t="shared" si="3"/>
        <v>0</v>
      </c>
      <c r="K68" s="81">
        <f t="shared" si="4"/>
        <v>0</v>
      </c>
      <c r="L68" s="81">
        <f t="shared" si="5"/>
        <v>0</v>
      </c>
    </row>
    <row r="69" spans="1:12" x14ac:dyDescent="0.25">
      <c r="A69" s="421">
        <v>67</v>
      </c>
      <c r="B69" s="421"/>
      <c r="C69" s="421"/>
      <c r="D69" s="419">
        <f>SUMIFS(XLBH!I$2:I$19,XLBH!$B$2:$B$19,'chia CN XLBH'!$C69)</f>
        <v>0</v>
      </c>
      <c r="E69" s="419">
        <f>SUMIFS(XLBH!J$2:J$19,XLBH!$B$2:$B$19,'chia CN XLBH'!$C69)</f>
        <v>0</v>
      </c>
      <c r="F69" s="419">
        <f>SUMIFS(XLBH!K$2:K$19,XLBH!$B$2:$B$19,'chia CN XLBH'!$C69)</f>
        <v>0</v>
      </c>
      <c r="I69" s="80" t="e">
        <f>'chia CN SX'!#REF!</f>
        <v>#REF!</v>
      </c>
      <c r="J69" s="81">
        <f t="shared" si="3"/>
        <v>0</v>
      </c>
      <c r="K69" s="81">
        <f t="shared" si="4"/>
        <v>0</v>
      </c>
      <c r="L69" s="81">
        <f t="shared" si="5"/>
        <v>0</v>
      </c>
    </row>
    <row r="70" spans="1:12" x14ac:dyDescent="0.25">
      <c r="A70" s="421">
        <v>68</v>
      </c>
      <c r="B70" s="421"/>
      <c r="C70" s="421"/>
      <c r="D70" s="419">
        <f>SUMIFS(XLBH!I$2:I$19,XLBH!$B$2:$B$19,'chia CN XLBH'!$C70)</f>
        <v>0</v>
      </c>
      <c r="E70" s="419">
        <f>SUMIFS(XLBH!J$2:J$19,XLBH!$B$2:$B$19,'chia CN XLBH'!$C70)</f>
        <v>0</v>
      </c>
      <c r="F70" s="419">
        <f>SUMIFS(XLBH!K$2:K$19,XLBH!$B$2:$B$19,'chia CN XLBH'!$C70)</f>
        <v>0</v>
      </c>
      <c r="I70" s="80" t="e">
        <f>'chia CN SX'!V68</f>
        <v>#REF!</v>
      </c>
      <c r="J70" s="81">
        <f t="shared" si="3"/>
        <v>0</v>
      </c>
      <c r="K70" s="81">
        <f t="shared" si="4"/>
        <v>0</v>
      </c>
      <c r="L70" s="81">
        <f t="shared" si="5"/>
        <v>0</v>
      </c>
    </row>
    <row r="71" spans="1:12" x14ac:dyDescent="0.25">
      <c r="A71" s="421">
        <v>69</v>
      </c>
      <c r="B71" s="421"/>
      <c r="C71" s="421"/>
      <c r="D71" s="419">
        <f>SUMIFS(XLBH!I$2:I$19,XLBH!$B$2:$B$19,'chia CN XLBH'!$C71)</f>
        <v>0</v>
      </c>
      <c r="E71" s="419">
        <f>SUMIFS(XLBH!J$2:J$19,XLBH!$B$2:$B$19,'chia CN XLBH'!$C71)</f>
        <v>0</v>
      </c>
      <c r="F71" s="419">
        <f>SUMIFS(XLBH!K$2:K$19,XLBH!$B$2:$B$19,'chia CN XLBH'!$C71)</f>
        <v>0</v>
      </c>
      <c r="I71" s="80" t="e">
        <f>'chia CN SX'!V69</f>
        <v>#REF!</v>
      </c>
      <c r="J71" s="81">
        <f t="shared" si="3"/>
        <v>0</v>
      </c>
      <c r="K71" s="81">
        <f t="shared" si="4"/>
        <v>0</v>
      </c>
      <c r="L71" s="81">
        <f t="shared" si="5"/>
        <v>0</v>
      </c>
    </row>
    <row r="72" spans="1:12" x14ac:dyDescent="0.25">
      <c r="A72" s="421">
        <v>70</v>
      </c>
      <c r="B72" s="421"/>
      <c r="C72" s="421"/>
      <c r="D72" s="419">
        <f>SUMIFS(XLBH!I$2:I$19,XLBH!$B$2:$B$19,'chia CN XLBH'!$C72)</f>
        <v>0</v>
      </c>
      <c r="E72" s="419">
        <f>SUMIFS(XLBH!J$2:J$19,XLBH!$B$2:$B$19,'chia CN XLBH'!$C72)</f>
        <v>0</v>
      </c>
      <c r="F72" s="419">
        <f>SUMIFS(XLBH!K$2:K$19,XLBH!$B$2:$B$19,'chia CN XLBH'!$C72)</f>
        <v>0</v>
      </c>
      <c r="I72" s="80" t="e">
        <f>'chia CN SX'!V70</f>
        <v>#REF!</v>
      </c>
      <c r="J72" s="81">
        <f t="shared" si="3"/>
        <v>0</v>
      </c>
      <c r="K72" s="81">
        <f t="shared" si="4"/>
        <v>0</v>
      </c>
      <c r="L72" s="81">
        <f t="shared" si="5"/>
        <v>0</v>
      </c>
    </row>
    <row r="73" spans="1:12" x14ac:dyDescent="0.25">
      <c r="A73" s="421">
        <v>71</v>
      </c>
      <c r="B73" s="421"/>
      <c r="C73" s="421"/>
      <c r="D73" s="419">
        <f>SUMIFS(XLBH!I$2:I$19,XLBH!$B$2:$B$19,'chia CN XLBH'!$C73)</f>
        <v>0</v>
      </c>
      <c r="E73" s="419">
        <f>SUMIFS(XLBH!J$2:J$19,XLBH!$B$2:$B$19,'chia CN XLBH'!$C73)</f>
        <v>0</v>
      </c>
      <c r="F73" s="419">
        <f>SUMIFS(XLBH!K$2:K$19,XLBH!$B$2:$B$19,'chia CN XLBH'!$C73)</f>
        <v>0</v>
      </c>
      <c r="I73" s="80" t="e">
        <f>'chia CN SX'!V71</f>
        <v>#REF!</v>
      </c>
      <c r="J73" s="81">
        <f t="shared" si="3"/>
        <v>0</v>
      </c>
      <c r="K73" s="81">
        <f t="shared" si="4"/>
        <v>0</v>
      </c>
      <c r="L73" s="81">
        <f t="shared" si="5"/>
        <v>0</v>
      </c>
    </row>
    <row r="74" spans="1:12" x14ac:dyDescent="0.25">
      <c r="A74" s="421">
        <v>72</v>
      </c>
      <c r="B74" s="421"/>
      <c r="C74" s="421"/>
      <c r="D74" s="419">
        <f>SUMIFS(XLBH!I$2:I$19,XLBH!$B$2:$B$19,'chia CN XLBH'!$C74)</f>
        <v>0</v>
      </c>
      <c r="E74" s="419">
        <f>SUMIFS(XLBH!J$2:J$19,XLBH!$B$2:$B$19,'chia CN XLBH'!$C74)</f>
        <v>0</v>
      </c>
      <c r="F74" s="419">
        <f>SUMIFS(XLBH!K$2:K$19,XLBH!$B$2:$B$19,'chia CN XLBH'!$C74)</f>
        <v>0</v>
      </c>
      <c r="I74" s="80" t="e">
        <f>'chia CN SX'!#REF!</f>
        <v>#REF!</v>
      </c>
      <c r="J74" s="81">
        <f t="shared" si="3"/>
        <v>0</v>
      </c>
      <c r="K74" s="81">
        <f t="shared" si="4"/>
        <v>0</v>
      </c>
      <c r="L74" s="81">
        <f t="shared" si="5"/>
        <v>0</v>
      </c>
    </row>
    <row r="75" spans="1:12" x14ac:dyDescent="0.25">
      <c r="A75" s="421">
        <v>73</v>
      </c>
      <c r="B75" s="421"/>
      <c r="C75" s="421"/>
      <c r="D75" s="419">
        <f>SUMIFS(XLBH!I$2:I$19,XLBH!$B$2:$B$19,'chia CN XLBH'!$C75)</f>
        <v>0</v>
      </c>
      <c r="E75" s="419">
        <f>SUMIFS(XLBH!J$2:J$19,XLBH!$B$2:$B$19,'chia CN XLBH'!$C75)</f>
        <v>0</v>
      </c>
      <c r="F75" s="419">
        <f>SUMIFS(XLBH!K$2:K$19,XLBH!$B$2:$B$19,'chia CN XLBH'!$C75)</f>
        <v>0</v>
      </c>
      <c r="I75" s="80" t="str">
        <f>'chia CN SX'!V72</f>
        <v>Hà Thanh Truyền</v>
      </c>
      <c r="J75" s="81">
        <f t="shared" si="3"/>
        <v>0</v>
      </c>
      <c r="K75" s="81">
        <f t="shared" si="4"/>
        <v>0</v>
      </c>
      <c r="L75" s="81">
        <f t="shared" si="5"/>
        <v>0</v>
      </c>
    </row>
    <row r="76" spans="1:12" x14ac:dyDescent="0.25">
      <c r="A76" s="421">
        <v>74</v>
      </c>
      <c r="B76" s="421"/>
      <c r="C76" s="421"/>
      <c r="D76" s="419">
        <f>SUMIFS(XLBH!I$2:I$19,XLBH!$B$2:$B$19,'chia CN XLBH'!$C76)</f>
        <v>0</v>
      </c>
      <c r="E76" s="419">
        <f>SUMIFS(XLBH!J$2:J$19,XLBH!$B$2:$B$19,'chia CN XLBH'!$C76)</f>
        <v>0</v>
      </c>
      <c r="F76" s="419">
        <f>SUMIFS(XLBH!K$2:K$19,XLBH!$B$2:$B$19,'chia CN XLBH'!$C76)</f>
        <v>0</v>
      </c>
      <c r="I76" s="80">
        <f>'chia CN SX'!V73</f>
        <v>0</v>
      </c>
      <c r="J76" s="81">
        <f t="shared" si="3"/>
        <v>0</v>
      </c>
      <c r="K76" s="81">
        <f t="shared" si="4"/>
        <v>0</v>
      </c>
      <c r="L76" s="81">
        <f t="shared" si="5"/>
        <v>0</v>
      </c>
    </row>
    <row r="77" spans="1:12" x14ac:dyDescent="0.25">
      <c r="A77" s="421">
        <v>75</v>
      </c>
      <c r="B77" s="421"/>
      <c r="C77" s="421"/>
      <c r="D77" s="419">
        <f>SUMIFS(XLBH!I$2:I$19,XLBH!$B$2:$B$19,'chia CN XLBH'!$C77)</f>
        <v>0</v>
      </c>
      <c r="E77" s="419">
        <f>SUMIFS(XLBH!J$2:J$19,XLBH!$B$2:$B$19,'chia CN XLBH'!$C77)</f>
        <v>0</v>
      </c>
      <c r="F77" s="419">
        <f>SUMIFS(XLBH!K$2:K$19,XLBH!$B$2:$B$19,'chia CN XLBH'!$C77)</f>
        <v>0</v>
      </c>
      <c r="I77" s="80">
        <f>'chia CN SX'!V74</f>
        <v>0</v>
      </c>
      <c r="J77" s="81">
        <f t="shared" si="3"/>
        <v>0</v>
      </c>
      <c r="K77" s="81">
        <f t="shared" si="4"/>
        <v>0</v>
      </c>
      <c r="L77" s="81">
        <f t="shared" si="5"/>
        <v>0</v>
      </c>
    </row>
    <row r="78" spans="1:12" x14ac:dyDescent="0.25">
      <c r="A78" s="421">
        <v>76</v>
      </c>
      <c r="B78" s="421"/>
      <c r="C78" s="421"/>
      <c r="D78" s="419">
        <f>SUMIFS(XLBH!I$2:I$19,XLBH!$B$2:$B$19,'chia CN XLBH'!$C78)</f>
        <v>0</v>
      </c>
      <c r="E78" s="419">
        <f>SUMIFS(XLBH!J$2:J$19,XLBH!$B$2:$B$19,'chia CN XLBH'!$C78)</f>
        <v>0</v>
      </c>
      <c r="F78" s="419">
        <f>SUMIFS(XLBH!K$2:K$19,XLBH!$B$2:$B$19,'chia CN XLBH'!$C78)</f>
        <v>0</v>
      </c>
      <c r="I78" s="80">
        <f>'chia CN SX'!V75</f>
        <v>0</v>
      </c>
      <c r="J78" s="81">
        <f t="shared" si="3"/>
        <v>0</v>
      </c>
      <c r="K78" s="81">
        <f t="shared" si="4"/>
        <v>0</v>
      </c>
      <c r="L78" s="81">
        <f t="shared" si="5"/>
        <v>0</v>
      </c>
    </row>
    <row r="79" spans="1:12" x14ac:dyDescent="0.25">
      <c r="A79" s="421">
        <v>77</v>
      </c>
      <c r="B79" s="421"/>
      <c r="C79" s="421"/>
      <c r="D79" s="419">
        <f>SUMIFS(XLBH!I$2:I$19,XLBH!$B$2:$B$19,'chia CN XLBH'!$C79)</f>
        <v>0</v>
      </c>
      <c r="E79" s="419">
        <f>SUMIFS(XLBH!J$2:J$19,XLBH!$B$2:$B$19,'chia CN XLBH'!$C79)</f>
        <v>0</v>
      </c>
      <c r="F79" s="419">
        <f>SUMIFS(XLBH!K$2:K$19,XLBH!$B$2:$B$19,'chia CN XLBH'!$C79)</f>
        <v>0</v>
      </c>
      <c r="I79" s="80">
        <f>'chia CN SX'!V76</f>
        <v>0</v>
      </c>
      <c r="J79" s="81">
        <f t="shared" si="3"/>
        <v>0</v>
      </c>
      <c r="K79" s="81">
        <f t="shared" si="4"/>
        <v>0</v>
      </c>
      <c r="L79" s="81">
        <f t="shared" si="5"/>
        <v>0</v>
      </c>
    </row>
    <row r="80" spans="1:12" x14ac:dyDescent="0.25">
      <c r="A80" s="421">
        <v>78</v>
      </c>
      <c r="B80" s="421"/>
      <c r="C80" s="421"/>
      <c r="D80" s="419">
        <f>SUMIFS(XLBH!I$2:I$19,XLBH!$B$2:$B$19,'chia CN XLBH'!$C80)</f>
        <v>0</v>
      </c>
      <c r="E80" s="419">
        <f>SUMIFS(XLBH!J$2:J$19,XLBH!$B$2:$B$19,'chia CN XLBH'!$C80)</f>
        <v>0</v>
      </c>
      <c r="F80" s="419">
        <f>SUMIFS(XLBH!K$2:K$19,XLBH!$B$2:$B$19,'chia CN XLBH'!$C80)</f>
        <v>0</v>
      </c>
      <c r="I80" s="80">
        <f>'chia CN SX'!V77</f>
        <v>0</v>
      </c>
      <c r="J80" s="81">
        <f t="shared" si="3"/>
        <v>0</v>
      </c>
      <c r="K80" s="81">
        <f t="shared" si="4"/>
        <v>0</v>
      </c>
      <c r="L80" s="81">
        <f t="shared" si="5"/>
        <v>0</v>
      </c>
    </row>
    <row r="81" spans="1:12" x14ac:dyDescent="0.25">
      <c r="A81" s="421">
        <v>79</v>
      </c>
      <c r="B81" s="421"/>
      <c r="C81" s="421"/>
      <c r="D81" s="419">
        <f>SUMIFS(XLBH!I$2:I$19,XLBH!$B$2:$B$19,'chia CN XLBH'!$C81)</f>
        <v>0</v>
      </c>
      <c r="E81" s="419">
        <f>SUMIFS(XLBH!J$2:J$19,XLBH!$B$2:$B$19,'chia CN XLBH'!$C81)</f>
        <v>0</v>
      </c>
      <c r="F81" s="419">
        <f>SUMIFS(XLBH!K$2:K$19,XLBH!$B$2:$B$19,'chia CN XLBH'!$C81)</f>
        <v>0</v>
      </c>
      <c r="I81" s="80">
        <f>'chia CN SX'!V78</f>
        <v>0</v>
      </c>
      <c r="J81" s="81">
        <f t="shared" si="3"/>
        <v>0</v>
      </c>
      <c r="K81" s="81">
        <f t="shared" si="4"/>
        <v>0</v>
      </c>
      <c r="L81" s="81">
        <f t="shared" si="5"/>
        <v>0</v>
      </c>
    </row>
    <row r="82" spans="1:12" x14ac:dyDescent="0.25">
      <c r="A82" s="421">
        <v>80</v>
      </c>
      <c r="B82" s="421"/>
      <c r="C82" s="421"/>
      <c r="D82" s="419">
        <f>SUMIFS(XLBH!I$2:I$19,XLBH!$B$2:$B$19,'chia CN XLBH'!$C82)</f>
        <v>0</v>
      </c>
      <c r="E82" s="419">
        <f>SUMIFS(XLBH!J$2:J$19,XLBH!$B$2:$B$19,'chia CN XLBH'!$C82)</f>
        <v>0</v>
      </c>
      <c r="F82" s="419">
        <f>SUMIFS(XLBH!K$2:K$19,XLBH!$B$2:$B$19,'chia CN XLBH'!$C82)</f>
        <v>0</v>
      </c>
      <c r="I82" s="80">
        <f>'chia CN SX'!V79</f>
        <v>0</v>
      </c>
      <c r="J82" s="81">
        <f t="shared" si="3"/>
        <v>0</v>
      </c>
      <c r="K82" s="81">
        <f t="shared" si="4"/>
        <v>0</v>
      </c>
      <c r="L82" s="81">
        <f t="shared" si="5"/>
        <v>0</v>
      </c>
    </row>
    <row r="83" spans="1:12" x14ac:dyDescent="0.25">
      <c r="A83" s="421">
        <v>81</v>
      </c>
      <c r="B83" s="421"/>
      <c r="C83" s="421"/>
      <c r="D83" s="419">
        <f>SUMIFS(XLBH!I$2:I$19,XLBH!$B$2:$B$19,'chia CN XLBH'!$C83)</f>
        <v>0</v>
      </c>
      <c r="E83" s="419">
        <f>SUMIFS(XLBH!J$2:J$19,XLBH!$B$2:$B$19,'chia CN XLBH'!$C83)</f>
        <v>0</v>
      </c>
      <c r="F83" s="419">
        <f>SUMIFS(XLBH!K$2:K$19,XLBH!$B$2:$B$19,'chia CN XLBH'!$C83)</f>
        <v>0</v>
      </c>
      <c r="I83" s="80">
        <f>'chia CN SX'!V80</f>
        <v>0</v>
      </c>
      <c r="J83" s="81">
        <f t="shared" ref="J83:J146" si="6">SUMIF($B$3:$B$169,$I83,D$3:D$169)</f>
        <v>0</v>
      </c>
      <c r="K83" s="81">
        <f t="shared" ref="K83:K146" si="7">SUMIF($B$3:$B$169,$I83,E$3:E$169)</f>
        <v>0</v>
      </c>
      <c r="L83" s="81">
        <f t="shared" ref="L83:L146" si="8">SUMIF($B$3:$B$169,$I83,F$3:F$169)</f>
        <v>0</v>
      </c>
    </row>
    <row r="84" spans="1:12" x14ac:dyDescent="0.25">
      <c r="A84" s="421">
        <v>82</v>
      </c>
      <c r="B84" s="421"/>
      <c r="C84" s="421"/>
      <c r="D84" s="419">
        <f>SUMIFS(XLBH!I$2:I$19,XLBH!$B$2:$B$19,'chia CN XLBH'!$C84)</f>
        <v>0</v>
      </c>
      <c r="E84" s="419">
        <f>SUMIFS(XLBH!J$2:J$19,XLBH!$B$2:$B$19,'chia CN XLBH'!$C84)</f>
        <v>0</v>
      </c>
      <c r="F84" s="419">
        <f>SUMIFS(XLBH!K$2:K$19,XLBH!$B$2:$B$19,'chia CN XLBH'!$C84)</f>
        <v>0</v>
      </c>
      <c r="I84" s="80">
        <f>'chia CN SX'!V81</f>
        <v>0</v>
      </c>
      <c r="J84" s="81">
        <f t="shared" si="6"/>
        <v>0</v>
      </c>
      <c r="K84" s="81">
        <f t="shared" si="7"/>
        <v>0</v>
      </c>
      <c r="L84" s="81">
        <f t="shared" si="8"/>
        <v>0</v>
      </c>
    </row>
    <row r="85" spans="1:12" x14ac:dyDescent="0.25">
      <c r="A85" s="421">
        <v>83</v>
      </c>
      <c r="B85" s="421"/>
      <c r="C85" s="421"/>
      <c r="D85" s="419">
        <f>SUMIFS(XLBH!I$2:I$19,XLBH!$B$2:$B$19,'chia CN XLBH'!$C85)</f>
        <v>0</v>
      </c>
      <c r="E85" s="419">
        <f>SUMIFS(XLBH!J$2:J$19,XLBH!$B$2:$B$19,'chia CN XLBH'!$C85)</f>
        <v>0</v>
      </c>
      <c r="F85" s="419">
        <f>SUMIFS(XLBH!K$2:K$19,XLBH!$B$2:$B$19,'chia CN XLBH'!$C85)</f>
        <v>0</v>
      </c>
      <c r="I85" s="80">
        <f>'chia CN SX'!V82</f>
        <v>0</v>
      </c>
      <c r="J85" s="81">
        <f t="shared" si="6"/>
        <v>0</v>
      </c>
      <c r="K85" s="81">
        <f t="shared" si="7"/>
        <v>0</v>
      </c>
      <c r="L85" s="81">
        <f t="shared" si="8"/>
        <v>0</v>
      </c>
    </row>
    <row r="86" spans="1:12" x14ac:dyDescent="0.25">
      <c r="A86" s="421">
        <v>84</v>
      </c>
      <c r="B86" s="421"/>
      <c r="C86" s="421"/>
      <c r="D86" s="419">
        <f>SUMIFS(XLBH!I$2:I$19,XLBH!$B$2:$B$19,'chia CN XLBH'!$C86)</f>
        <v>0</v>
      </c>
      <c r="E86" s="419">
        <f>SUMIFS(XLBH!J$2:J$19,XLBH!$B$2:$B$19,'chia CN XLBH'!$C86)</f>
        <v>0</v>
      </c>
      <c r="F86" s="419">
        <f>SUMIFS(XLBH!K$2:K$19,XLBH!$B$2:$B$19,'chia CN XLBH'!$C86)</f>
        <v>0</v>
      </c>
      <c r="I86" s="80">
        <f>'chia CN SX'!V83</f>
        <v>0</v>
      </c>
      <c r="J86" s="81">
        <f t="shared" si="6"/>
        <v>0</v>
      </c>
      <c r="K86" s="81">
        <f t="shared" si="7"/>
        <v>0</v>
      </c>
      <c r="L86" s="81">
        <f t="shared" si="8"/>
        <v>0</v>
      </c>
    </row>
    <row r="87" spans="1:12" x14ac:dyDescent="0.25">
      <c r="A87" s="421">
        <v>85</v>
      </c>
      <c r="B87" s="421"/>
      <c r="C87" s="421"/>
      <c r="D87" s="419">
        <f>SUMIFS(XLBH!I$2:I$19,XLBH!$B$2:$B$19,'chia CN XLBH'!$C87)</f>
        <v>0</v>
      </c>
      <c r="E87" s="419">
        <f>SUMIFS(XLBH!J$2:J$19,XLBH!$B$2:$B$19,'chia CN XLBH'!$C87)</f>
        <v>0</v>
      </c>
      <c r="F87" s="419">
        <f>SUMIFS(XLBH!K$2:K$19,XLBH!$B$2:$B$19,'chia CN XLBH'!$C87)</f>
        <v>0</v>
      </c>
      <c r="I87" s="80">
        <f>'chia CN SX'!V84</f>
        <v>0</v>
      </c>
      <c r="J87" s="81">
        <f t="shared" si="6"/>
        <v>0</v>
      </c>
      <c r="K87" s="81">
        <f t="shared" si="7"/>
        <v>0</v>
      </c>
      <c r="L87" s="81">
        <f t="shared" si="8"/>
        <v>0</v>
      </c>
    </row>
    <row r="88" spans="1:12" x14ac:dyDescent="0.25">
      <c r="A88" s="421">
        <v>86</v>
      </c>
      <c r="B88" s="421"/>
      <c r="C88" s="421"/>
      <c r="D88" s="419">
        <f>SUMIFS(XLBH!I$2:I$19,XLBH!$B$2:$B$19,'chia CN XLBH'!$C88)</f>
        <v>0</v>
      </c>
      <c r="E88" s="419">
        <f>SUMIFS(XLBH!J$2:J$19,XLBH!$B$2:$B$19,'chia CN XLBH'!$C88)</f>
        <v>0</v>
      </c>
      <c r="F88" s="419">
        <f>SUMIFS(XLBH!K$2:K$19,XLBH!$B$2:$B$19,'chia CN XLBH'!$C88)</f>
        <v>0</v>
      </c>
      <c r="I88" s="80">
        <f>'chia CN SX'!V85</f>
        <v>0</v>
      </c>
      <c r="J88" s="81">
        <f t="shared" si="6"/>
        <v>0</v>
      </c>
      <c r="K88" s="81">
        <f t="shared" si="7"/>
        <v>0</v>
      </c>
      <c r="L88" s="81">
        <f t="shared" si="8"/>
        <v>0</v>
      </c>
    </row>
    <row r="89" spans="1:12" x14ac:dyDescent="0.25">
      <c r="A89" s="421">
        <v>87</v>
      </c>
      <c r="B89" s="421"/>
      <c r="C89" s="421"/>
      <c r="D89" s="419">
        <f>SUMIFS(XLBH!I$2:I$19,XLBH!$B$2:$B$19,'chia CN XLBH'!$C89)</f>
        <v>0</v>
      </c>
      <c r="E89" s="419">
        <f>SUMIFS(XLBH!J$2:J$19,XLBH!$B$2:$B$19,'chia CN XLBH'!$C89)</f>
        <v>0</v>
      </c>
      <c r="F89" s="419">
        <f>SUMIFS(XLBH!K$2:K$19,XLBH!$B$2:$B$19,'chia CN XLBH'!$C89)</f>
        <v>0</v>
      </c>
      <c r="I89" s="80">
        <f>'chia CN SX'!V86</f>
        <v>0</v>
      </c>
      <c r="J89" s="81">
        <f t="shared" si="6"/>
        <v>0</v>
      </c>
      <c r="K89" s="81">
        <f t="shared" si="7"/>
        <v>0</v>
      </c>
      <c r="L89" s="81">
        <f t="shared" si="8"/>
        <v>0</v>
      </c>
    </row>
    <row r="90" spans="1:12" x14ac:dyDescent="0.25">
      <c r="A90" s="421">
        <v>88</v>
      </c>
      <c r="B90" s="421"/>
      <c r="C90" s="421"/>
      <c r="D90" s="419">
        <f>SUMIFS(XLBH!I$2:I$19,XLBH!$B$2:$B$19,'chia CN XLBH'!$C90)</f>
        <v>0</v>
      </c>
      <c r="E90" s="419">
        <f>SUMIFS(XLBH!J$2:J$19,XLBH!$B$2:$B$19,'chia CN XLBH'!$C90)</f>
        <v>0</v>
      </c>
      <c r="F90" s="419">
        <f>SUMIFS(XLBH!K$2:K$19,XLBH!$B$2:$B$19,'chia CN XLBH'!$C90)</f>
        <v>0</v>
      </c>
      <c r="I90" s="80">
        <f>'chia CN SX'!V87</f>
        <v>0</v>
      </c>
      <c r="J90" s="81">
        <f t="shared" si="6"/>
        <v>0</v>
      </c>
      <c r="K90" s="81">
        <f t="shared" si="7"/>
        <v>0</v>
      </c>
      <c r="L90" s="81">
        <f t="shared" si="8"/>
        <v>0</v>
      </c>
    </row>
    <row r="91" spans="1:12" x14ac:dyDescent="0.25">
      <c r="A91" s="421">
        <v>89</v>
      </c>
      <c r="B91" s="421"/>
      <c r="C91" s="421"/>
      <c r="D91" s="419">
        <f>SUMIFS(XLBH!I$2:I$19,XLBH!$B$2:$B$19,'chia CN XLBH'!$C91)</f>
        <v>0</v>
      </c>
      <c r="E91" s="419">
        <f>SUMIFS(XLBH!J$2:J$19,XLBH!$B$2:$B$19,'chia CN XLBH'!$C91)</f>
        <v>0</v>
      </c>
      <c r="F91" s="419">
        <f>SUMIFS(XLBH!K$2:K$19,XLBH!$B$2:$B$19,'chia CN XLBH'!$C91)</f>
        <v>0</v>
      </c>
      <c r="I91" s="80">
        <f>'chia CN SX'!V88</f>
        <v>0</v>
      </c>
      <c r="J91" s="81">
        <f t="shared" si="6"/>
        <v>0</v>
      </c>
      <c r="K91" s="81">
        <f t="shared" si="7"/>
        <v>0</v>
      </c>
      <c r="L91" s="81">
        <f t="shared" si="8"/>
        <v>0</v>
      </c>
    </row>
    <row r="92" spans="1:12" x14ac:dyDescent="0.25">
      <c r="A92" s="421">
        <v>90</v>
      </c>
      <c r="B92" s="421"/>
      <c r="C92" s="421"/>
      <c r="D92" s="419">
        <f>SUMIFS(XLBH!I$2:I$19,XLBH!$B$2:$B$19,'chia CN XLBH'!$C92)</f>
        <v>0</v>
      </c>
      <c r="E92" s="419">
        <f>SUMIFS(XLBH!J$2:J$19,XLBH!$B$2:$B$19,'chia CN XLBH'!$C92)</f>
        <v>0</v>
      </c>
      <c r="F92" s="419">
        <f>SUMIFS(XLBH!K$2:K$19,XLBH!$B$2:$B$19,'chia CN XLBH'!$C92)</f>
        <v>0</v>
      </c>
      <c r="I92" s="80">
        <f>'chia CN SX'!V89</f>
        <v>0</v>
      </c>
      <c r="J92" s="81">
        <f t="shared" si="6"/>
        <v>0</v>
      </c>
      <c r="K92" s="81">
        <f t="shared" si="7"/>
        <v>0</v>
      </c>
      <c r="L92" s="81">
        <f t="shared" si="8"/>
        <v>0</v>
      </c>
    </row>
    <row r="93" spans="1:12" x14ac:dyDescent="0.25">
      <c r="A93" s="421">
        <v>91</v>
      </c>
      <c r="B93" s="421"/>
      <c r="C93" s="421"/>
      <c r="D93" s="419">
        <f>SUMIFS(XLBH!I$2:I$19,XLBH!$B$2:$B$19,'chia CN XLBH'!$C93)</f>
        <v>0</v>
      </c>
      <c r="E93" s="419">
        <f>SUMIFS(XLBH!J$2:J$19,XLBH!$B$2:$B$19,'chia CN XLBH'!$C93)</f>
        <v>0</v>
      </c>
      <c r="F93" s="419">
        <f>SUMIFS(XLBH!K$2:K$19,XLBH!$B$2:$B$19,'chia CN XLBH'!$C93)</f>
        <v>0</v>
      </c>
      <c r="I93" s="80">
        <f>'chia CN SX'!V90</f>
        <v>0</v>
      </c>
      <c r="J93" s="81">
        <f t="shared" si="6"/>
        <v>0</v>
      </c>
      <c r="K93" s="81">
        <f t="shared" si="7"/>
        <v>0</v>
      </c>
      <c r="L93" s="81">
        <f t="shared" si="8"/>
        <v>0</v>
      </c>
    </row>
    <row r="94" spans="1:12" x14ac:dyDescent="0.25">
      <c r="A94" s="421">
        <v>92</v>
      </c>
      <c r="B94" s="421"/>
      <c r="C94" s="421"/>
      <c r="D94" s="419">
        <f>SUMIFS(XLBH!I$2:I$19,XLBH!$B$2:$B$19,'chia CN XLBH'!$C94)</f>
        <v>0</v>
      </c>
      <c r="E94" s="419">
        <f>SUMIFS(XLBH!J$2:J$19,XLBH!$B$2:$B$19,'chia CN XLBH'!$C94)</f>
        <v>0</v>
      </c>
      <c r="F94" s="419">
        <f>SUMIFS(XLBH!K$2:K$19,XLBH!$B$2:$B$19,'chia CN XLBH'!$C94)</f>
        <v>0</v>
      </c>
      <c r="I94" s="80">
        <f>'chia CN SX'!V91</f>
        <v>0</v>
      </c>
      <c r="J94" s="81">
        <f t="shared" si="6"/>
        <v>0</v>
      </c>
      <c r="K94" s="81">
        <f t="shared" si="7"/>
        <v>0</v>
      </c>
      <c r="L94" s="81">
        <f t="shared" si="8"/>
        <v>0</v>
      </c>
    </row>
    <row r="95" spans="1:12" x14ac:dyDescent="0.25">
      <c r="A95" s="421">
        <v>93</v>
      </c>
      <c r="B95" s="421"/>
      <c r="C95" s="421"/>
      <c r="D95" s="419">
        <f>SUMIFS(XLBH!I$2:I$19,XLBH!$B$2:$B$19,'chia CN XLBH'!$C95)</f>
        <v>0</v>
      </c>
      <c r="E95" s="419">
        <f>SUMIFS(XLBH!J$2:J$19,XLBH!$B$2:$B$19,'chia CN XLBH'!$C95)</f>
        <v>0</v>
      </c>
      <c r="F95" s="419">
        <f>SUMIFS(XLBH!K$2:K$19,XLBH!$B$2:$B$19,'chia CN XLBH'!$C95)</f>
        <v>0</v>
      </c>
      <c r="I95" s="80">
        <f>'chia CN SX'!V92</f>
        <v>0</v>
      </c>
      <c r="J95" s="81">
        <f t="shared" si="6"/>
        <v>0</v>
      </c>
      <c r="K95" s="81">
        <f t="shared" si="7"/>
        <v>0</v>
      </c>
      <c r="L95" s="81">
        <f t="shared" si="8"/>
        <v>0</v>
      </c>
    </row>
    <row r="96" spans="1:12" x14ac:dyDescent="0.25">
      <c r="A96" s="421">
        <v>94</v>
      </c>
      <c r="B96" s="421"/>
      <c r="C96" s="421"/>
      <c r="D96" s="419">
        <f>SUMIFS(XLBH!I$2:I$19,XLBH!$B$2:$B$19,'chia CN XLBH'!$C96)</f>
        <v>0</v>
      </c>
      <c r="E96" s="419">
        <f>SUMIFS(XLBH!J$2:J$19,XLBH!$B$2:$B$19,'chia CN XLBH'!$C96)</f>
        <v>0</v>
      </c>
      <c r="F96" s="419">
        <f>SUMIFS(XLBH!K$2:K$19,XLBH!$B$2:$B$19,'chia CN XLBH'!$C96)</f>
        <v>0</v>
      </c>
      <c r="I96" s="80">
        <f>'chia CN SX'!V93</f>
        <v>0</v>
      </c>
      <c r="J96" s="81">
        <f t="shared" si="6"/>
        <v>0</v>
      </c>
      <c r="K96" s="81">
        <f t="shared" si="7"/>
        <v>0</v>
      </c>
      <c r="L96" s="81">
        <f t="shared" si="8"/>
        <v>0</v>
      </c>
    </row>
    <row r="97" spans="1:12" x14ac:dyDescent="0.25">
      <c r="A97" s="421">
        <v>95</v>
      </c>
      <c r="B97" s="421"/>
      <c r="C97" s="421"/>
      <c r="D97" s="419">
        <f>SUMIFS(XLBH!I$2:I$19,XLBH!$B$2:$B$19,'chia CN XLBH'!$C97)</f>
        <v>0</v>
      </c>
      <c r="E97" s="419">
        <f>SUMIFS(XLBH!J$2:J$19,XLBH!$B$2:$B$19,'chia CN XLBH'!$C97)</f>
        <v>0</v>
      </c>
      <c r="F97" s="419">
        <f>SUMIFS(XLBH!K$2:K$19,XLBH!$B$2:$B$19,'chia CN XLBH'!$C97)</f>
        <v>0</v>
      </c>
      <c r="I97" s="80">
        <f>'chia CN SX'!V94</f>
        <v>0</v>
      </c>
      <c r="J97" s="81">
        <f t="shared" si="6"/>
        <v>0</v>
      </c>
      <c r="K97" s="81">
        <f t="shared" si="7"/>
        <v>0</v>
      </c>
      <c r="L97" s="81">
        <f t="shared" si="8"/>
        <v>0</v>
      </c>
    </row>
    <row r="98" spans="1:12" x14ac:dyDescent="0.25">
      <c r="A98" s="421">
        <v>96</v>
      </c>
      <c r="B98" s="421"/>
      <c r="C98" s="421"/>
      <c r="D98" s="419">
        <f>SUMIFS(XLBH!I$2:I$19,XLBH!$B$2:$B$19,'chia CN XLBH'!$C98)</f>
        <v>0</v>
      </c>
      <c r="E98" s="419">
        <f>SUMIFS(XLBH!J$2:J$19,XLBH!$B$2:$B$19,'chia CN XLBH'!$C98)</f>
        <v>0</v>
      </c>
      <c r="F98" s="419">
        <f>SUMIFS(XLBH!K$2:K$19,XLBH!$B$2:$B$19,'chia CN XLBH'!$C98)</f>
        <v>0</v>
      </c>
      <c r="I98" s="80">
        <f>'chia CN SX'!V95</f>
        <v>0</v>
      </c>
      <c r="J98" s="81">
        <f t="shared" si="6"/>
        <v>0</v>
      </c>
      <c r="K98" s="81">
        <f t="shared" si="7"/>
        <v>0</v>
      </c>
      <c r="L98" s="81">
        <f t="shared" si="8"/>
        <v>0</v>
      </c>
    </row>
    <row r="99" spans="1:12" x14ac:dyDescent="0.25">
      <c r="A99" s="421">
        <v>97</v>
      </c>
      <c r="B99" s="421"/>
      <c r="C99" s="421"/>
      <c r="D99" s="419">
        <f>SUMIFS(XLBH!I$2:I$19,XLBH!$B$2:$B$19,'chia CN XLBH'!$C99)</f>
        <v>0</v>
      </c>
      <c r="E99" s="419">
        <f>SUMIFS(XLBH!J$2:J$19,XLBH!$B$2:$B$19,'chia CN XLBH'!$C99)</f>
        <v>0</v>
      </c>
      <c r="F99" s="419">
        <f>SUMIFS(XLBH!K$2:K$19,XLBH!$B$2:$B$19,'chia CN XLBH'!$C99)</f>
        <v>0</v>
      </c>
      <c r="I99" s="80">
        <f>'chia CN SX'!V96</f>
        <v>0</v>
      </c>
      <c r="J99" s="81">
        <f t="shared" si="6"/>
        <v>0</v>
      </c>
      <c r="K99" s="81">
        <f t="shared" si="7"/>
        <v>0</v>
      </c>
      <c r="L99" s="81">
        <f t="shared" si="8"/>
        <v>0</v>
      </c>
    </row>
    <row r="100" spans="1:12" x14ac:dyDescent="0.25">
      <c r="A100" s="421">
        <v>98</v>
      </c>
      <c r="B100" s="421"/>
      <c r="C100" s="421"/>
      <c r="D100" s="419">
        <f>SUMIFS(XLBH!I$2:I$19,XLBH!$B$2:$B$19,'chia CN XLBH'!$C100)</f>
        <v>0</v>
      </c>
      <c r="E100" s="419">
        <f>SUMIFS(XLBH!J$2:J$19,XLBH!$B$2:$B$19,'chia CN XLBH'!$C100)</f>
        <v>0</v>
      </c>
      <c r="F100" s="419">
        <f>SUMIFS(XLBH!K$2:K$19,XLBH!$B$2:$B$19,'chia CN XLBH'!$C100)</f>
        <v>0</v>
      </c>
      <c r="I100" s="80">
        <f>'chia CN SX'!V97</f>
        <v>0</v>
      </c>
      <c r="J100" s="81">
        <f t="shared" si="6"/>
        <v>0</v>
      </c>
      <c r="K100" s="81">
        <f t="shared" si="7"/>
        <v>0</v>
      </c>
      <c r="L100" s="81">
        <f t="shared" si="8"/>
        <v>0</v>
      </c>
    </row>
    <row r="101" spans="1:12" x14ac:dyDescent="0.25">
      <c r="A101" s="421">
        <v>99</v>
      </c>
      <c r="B101" s="421"/>
      <c r="C101" s="421"/>
      <c r="D101" s="419">
        <f>SUMIFS(XLBH!I$2:I$19,XLBH!$B$2:$B$19,'chia CN XLBH'!$C101)</f>
        <v>0</v>
      </c>
      <c r="E101" s="419">
        <f>SUMIFS(XLBH!J$2:J$19,XLBH!$B$2:$B$19,'chia CN XLBH'!$C101)</f>
        <v>0</v>
      </c>
      <c r="F101" s="419">
        <f>SUMIFS(XLBH!K$2:K$19,XLBH!$B$2:$B$19,'chia CN XLBH'!$C101)</f>
        <v>0</v>
      </c>
      <c r="I101" s="80">
        <f>'chia CN SX'!V98</f>
        <v>0</v>
      </c>
      <c r="J101" s="81">
        <f t="shared" si="6"/>
        <v>0</v>
      </c>
      <c r="K101" s="81">
        <f t="shared" si="7"/>
        <v>0</v>
      </c>
      <c r="L101" s="81">
        <f t="shared" si="8"/>
        <v>0</v>
      </c>
    </row>
    <row r="102" spans="1:12" x14ac:dyDescent="0.25">
      <c r="A102" s="421">
        <v>100</v>
      </c>
      <c r="B102" s="421"/>
      <c r="C102" s="421"/>
      <c r="D102" s="419">
        <f>SUMIFS(XLBH!I$2:I$19,XLBH!$B$2:$B$19,'chia CN XLBH'!$C102)</f>
        <v>0</v>
      </c>
      <c r="E102" s="419">
        <f>SUMIFS(XLBH!J$2:J$19,XLBH!$B$2:$B$19,'chia CN XLBH'!$C102)</f>
        <v>0</v>
      </c>
      <c r="F102" s="419">
        <f>SUMIFS(XLBH!K$2:K$19,XLBH!$B$2:$B$19,'chia CN XLBH'!$C102)</f>
        <v>0</v>
      </c>
      <c r="I102" s="80">
        <f>'chia CN SX'!V99</f>
        <v>0</v>
      </c>
      <c r="J102" s="81">
        <f t="shared" si="6"/>
        <v>0</v>
      </c>
      <c r="K102" s="81">
        <f t="shared" si="7"/>
        <v>0</v>
      </c>
      <c r="L102" s="81">
        <f t="shared" si="8"/>
        <v>0</v>
      </c>
    </row>
    <row r="103" spans="1:12" x14ac:dyDescent="0.25">
      <c r="A103" s="421">
        <v>101</v>
      </c>
      <c r="B103" s="421"/>
      <c r="C103" s="421"/>
      <c r="D103" s="419">
        <f>SUMIFS(XLBH!I$2:I$19,XLBH!$B$2:$B$19,'chia CN XLBH'!$C103)</f>
        <v>0</v>
      </c>
      <c r="E103" s="419">
        <f>SUMIFS(XLBH!J$2:J$19,XLBH!$B$2:$B$19,'chia CN XLBH'!$C103)</f>
        <v>0</v>
      </c>
      <c r="F103" s="419">
        <f>SUMIFS(XLBH!K$2:K$19,XLBH!$B$2:$B$19,'chia CN XLBH'!$C103)</f>
        <v>0</v>
      </c>
      <c r="I103" s="80">
        <f>'chia CN SX'!V100</f>
        <v>0</v>
      </c>
      <c r="J103" s="81">
        <f t="shared" si="6"/>
        <v>0</v>
      </c>
      <c r="K103" s="81">
        <f t="shared" si="7"/>
        <v>0</v>
      </c>
      <c r="L103" s="81">
        <f t="shared" si="8"/>
        <v>0</v>
      </c>
    </row>
    <row r="104" spans="1:12" x14ac:dyDescent="0.25">
      <c r="A104" s="421">
        <v>102</v>
      </c>
      <c r="B104" s="421"/>
      <c r="C104" s="421"/>
      <c r="D104" s="419">
        <f>SUMIFS(XLBH!I$2:I$19,XLBH!$B$2:$B$19,'chia CN XLBH'!$C104)</f>
        <v>0</v>
      </c>
      <c r="E104" s="419">
        <f>SUMIFS(XLBH!J$2:J$19,XLBH!$B$2:$B$19,'chia CN XLBH'!$C104)</f>
        <v>0</v>
      </c>
      <c r="F104" s="419">
        <f>SUMIFS(XLBH!K$2:K$19,XLBH!$B$2:$B$19,'chia CN XLBH'!$C104)</f>
        <v>0</v>
      </c>
      <c r="I104" s="80">
        <f>'chia CN SX'!V101</f>
        <v>0</v>
      </c>
      <c r="J104" s="81">
        <f t="shared" si="6"/>
        <v>0</v>
      </c>
      <c r="K104" s="81">
        <f t="shared" si="7"/>
        <v>0</v>
      </c>
      <c r="L104" s="81">
        <f t="shared" si="8"/>
        <v>0</v>
      </c>
    </row>
    <row r="105" spans="1:12" x14ac:dyDescent="0.25">
      <c r="A105" s="421">
        <v>103</v>
      </c>
      <c r="B105" s="421"/>
      <c r="C105" s="421"/>
      <c r="D105" s="419">
        <f>SUMIFS(XLBH!I$2:I$19,XLBH!$B$2:$B$19,'chia CN XLBH'!$C105)</f>
        <v>0</v>
      </c>
      <c r="E105" s="419">
        <f>SUMIFS(XLBH!J$2:J$19,XLBH!$B$2:$B$19,'chia CN XLBH'!$C105)</f>
        <v>0</v>
      </c>
      <c r="F105" s="419">
        <f>SUMIFS(XLBH!K$2:K$19,XLBH!$B$2:$B$19,'chia CN XLBH'!$C105)</f>
        <v>0</v>
      </c>
      <c r="I105" s="80">
        <f>'chia CN SX'!V102</f>
        <v>0</v>
      </c>
      <c r="J105" s="81">
        <f t="shared" si="6"/>
        <v>0</v>
      </c>
      <c r="K105" s="81">
        <f t="shared" si="7"/>
        <v>0</v>
      </c>
      <c r="L105" s="81">
        <f t="shared" si="8"/>
        <v>0</v>
      </c>
    </row>
    <row r="106" spans="1:12" x14ac:dyDescent="0.25">
      <c r="A106" s="421">
        <v>104</v>
      </c>
      <c r="B106" s="421"/>
      <c r="C106" s="421"/>
      <c r="D106" s="419">
        <f>SUMIFS(XLBH!I$2:I$19,XLBH!$B$2:$B$19,'chia CN XLBH'!$C106)</f>
        <v>0</v>
      </c>
      <c r="E106" s="419">
        <f>SUMIFS(XLBH!J$2:J$19,XLBH!$B$2:$B$19,'chia CN XLBH'!$C106)</f>
        <v>0</v>
      </c>
      <c r="F106" s="419">
        <f>SUMIFS(XLBH!K$2:K$19,XLBH!$B$2:$B$19,'chia CN XLBH'!$C106)</f>
        <v>0</v>
      </c>
      <c r="I106" s="80">
        <f>'chia CN SX'!V103</f>
        <v>0</v>
      </c>
      <c r="J106" s="81">
        <f t="shared" si="6"/>
        <v>0</v>
      </c>
      <c r="K106" s="81">
        <f t="shared" si="7"/>
        <v>0</v>
      </c>
      <c r="L106" s="81">
        <f t="shared" si="8"/>
        <v>0</v>
      </c>
    </row>
    <row r="107" spans="1:12" x14ac:dyDescent="0.25">
      <c r="A107" s="421">
        <v>105</v>
      </c>
      <c r="B107" s="421"/>
      <c r="C107" s="421"/>
      <c r="D107" s="419">
        <f>SUMIFS(XLBH!I$2:I$19,XLBH!$B$2:$B$19,'chia CN XLBH'!$C107)</f>
        <v>0</v>
      </c>
      <c r="E107" s="419">
        <f>SUMIFS(XLBH!J$2:J$19,XLBH!$B$2:$B$19,'chia CN XLBH'!$C107)</f>
        <v>0</v>
      </c>
      <c r="F107" s="419">
        <f>SUMIFS(XLBH!K$2:K$19,XLBH!$B$2:$B$19,'chia CN XLBH'!$C107)</f>
        <v>0</v>
      </c>
      <c r="I107" s="80">
        <f>'chia CN SX'!V104</f>
        <v>0</v>
      </c>
      <c r="J107" s="81">
        <f t="shared" si="6"/>
        <v>0</v>
      </c>
      <c r="K107" s="81">
        <f t="shared" si="7"/>
        <v>0</v>
      </c>
      <c r="L107" s="81">
        <f t="shared" si="8"/>
        <v>0</v>
      </c>
    </row>
    <row r="108" spans="1:12" x14ac:dyDescent="0.25">
      <c r="A108" s="421">
        <v>106</v>
      </c>
      <c r="B108" s="421"/>
      <c r="C108" s="421"/>
      <c r="D108" s="419">
        <f>SUMIFS(XLBH!I$2:I$19,XLBH!$B$2:$B$19,'chia CN XLBH'!$C108)</f>
        <v>0</v>
      </c>
      <c r="E108" s="419">
        <f>SUMIFS(XLBH!J$2:J$19,XLBH!$B$2:$B$19,'chia CN XLBH'!$C108)</f>
        <v>0</v>
      </c>
      <c r="F108" s="419">
        <f>SUMIFS(XLBH!K$2:K$19,XLBH!$B$2:$B$19,'chia CN XLBH'!$C108)</f>
        <v>0</v>
      </c>
      <c r="I108" s="80">
        <f>'chia CN SX'!V105</f>
        <v>0</v>
      </c>
      <c r="J108" s="81">
        <f t="shared" si="6"/>
        <v>0</v>
      </c>
      <c r="K108" s="81">
        <f t="shared" si="7"/>
        <v>0</v>
      </c>
      <c r="L108" s="81">
        <f t="shared" si="8"/>
        <v>0</v>
      </c>
    </row>
    <row r="109" spans="1:12" x14ac:dyDescent="0.25">
      <c r="A109" s="421">
        <v>107</v>
      </c>
      <c r="B109" s="421"/>
      <c r="C109" s="421"/>
      <c r="D109" s="419">
        <f>SUMIFS(XLBH!I$2:I$19,XLBH!$B$2:$B$19,'chia CN XLBH'!$C109)</f>
        <v>0</v>
      </c>
      <c r="E109" s="419">
        <f>SUMIFS(XLBH!J$2:J$19,XLBH!$B$2:$B$19,'chia CN XLBH'!$C109)</f>
        <v>0</v>
      </c>
      <c r="F109" s="419">
        <f>SUMIFS(XLBH!K$2:K$19,XLBH!$B$2:$B$19,'chia CN XLBH'!$C109)</f>
        <v>0</v>
      </c>
      <c r="I109" s="80">
        <f>'chia CN SX'!V106</f>
        <v>0</v>
      </c>
      <c r="J109" s="81">
        <f t="shared" si="6"/>
        <v>0</v>
      </c>
      <c r="K109" s="81">
        <f t="shared" si="7"/>
        <v>0</v>
      </c>
      <c r="L109" s="81">
        <f t="shared" si="8"/>
        <v>0</v>
      </c>
    </row>
    <row r="110" spans="1:12" x14ac:dyDescent="0.25">
      <c r="A110" s="421">
        <v>108</v>
      </c>
      <c r="B110" s="421"/>
      <c r="C110" s="421"/>
      <c r="D110" s="419">
        <f>SUMIFS(XLBH!I$2:I$19,XLBH!$B$2:$B$19,'chia CN XLBH'!$C110)</f>
        <v>0</v>
      </c>
      <c r="E110" s="419">
        <f>SUMIFS(XLBH!J$2:J$19,XLBH!$B$2:$B$19,'chia CN XLBH'!$C110)</f>
        <v>0</v>
      </c>
      <c r="F110" s="419">
        <f>SUMIFS(XLBH!K$2:K$19,XLBH!$B$2:$B$19,'chia CN XLBH'!$C110)</f>
        <v>0</v>
      </c>
      <c r="I110" s="80">
        <f>'chia CN SX'!V107</f>
        <v>0</v>
      </c>
      <c r="J110" s="81">
        <f t="shared" si="6"/>
        <v>0</v>
      </c>
      <c r="K110" s="81">
        <f t="shared" si="7"/>
        <v>0</v>
      </c>
      <c r="L110" s="81">
        <f t="shared" si="8"/>
        <v>0</v>
      </c>
    </row>
    <row r="111" spans="1:12" x14ac:dyDescent="0.25">
      <c r="A111" s="421">
        <v>109</v>
      </c>
      <c r="B111" s="421"/>
      <c r="C111" s="421"/>
      <c r="D111" s="419">
        <f>SUMIFS(XLBH!I$2:I$19,XLBH!$B$2:$B$19,'chia CN XLBH'!$C111)</f>
        <v>0</v>
      </c>
      <c r="E111" s="419">
        <f>SUMIFS(XLBH!J$2:J$19,XLBH!$B$2:$B$19,'chia CN XLBH'!$C111)</f>
        <v>0</v>
      </c>
      <c r="F111" s="419">
        <f>SUMIFS(XLBH!K$2:K$19,XLBH!$B$2:$B$19,'chia CN XLBH'!$C111)</f>
        <v>0</v>
      </c>
      <c r="I111" s="80">
        <f>'chia CN SX'!V108</f>
        <v>0</v>
      </c>
      <c r="J111" s="81">
        <f t="shared" si="6"/>
        <v>0</v>
      </c>
      <c r="K111" s="81">
        <f t="shared" si="7"/>
        <v>0</v>
      </c>
      <c r="L111" s="81">
        <f t="shared" si="8"/>
        <v>0</v>
      </c>
    </row>
    <row r="112" spans="1:12" x14ac:dyDescent="0.25">
      <c r="A112" s="421">
        <v>110</v>
      </c>
      <c r="B112" s="421"/>
      <c r="C112" s="421"/>
      <c r="D112" s="419">
        <f>SUMIFS(XLBH!I$2:I$19,XLBH!$B$2:$B$19,'chia CN XLBH'!$C112)</f>
        <v>0</v>
      </c>
      <c r="E112" s="419">
        <f>SUMIFS(XLBH!J$2:J$19,XLBH!$B$2:$B$19,'chia CN XLBH'!$C112)</f>
        <v>0</v>
      </c>
      <c r="F112" s="419">
        <f>SUMIFS(XLBH!K$2:K$19,XLBH!$B$2:$B$19,'chia CN XLBH'!$C112)</f>
        <v>0</v>
      </c>
      <c r="I112" s="80">
        <f>'chia CN SX'!V109</f>
        <v>0</v>
      </c>
      <c r="J112" s="81">
        <f t="shared" si="6"/>
        <v>0</v>
      </c>
      <c r="K112" s="81">
        <f t="shared" si="7"/>
        <v>0</v>
      </c>
      <c r="L112" s="81">
        <f t="shared" si="8"/>
        <v>0</v>
      </c>
    </row>
    <row r="113" spans="1:12" x14ac:dyDescent="0.25">
      <c r="A113" s="421">
        <v>111</v>
      </c>
      <c r="B113" s="421"/>
      <c r="C113" s="421"/>
      <c r="D113" s="419">
        <f>SUMIFS(XLBH!I$2:I$19,XLBH!$B$2:$B$19,'chia CN XLBH'!$C113)</f>
        <v>0</v>
      </c>
      <c r="E113" s="419">
        <f>SUMIFS(XLBH!J$2:J$19,XLBH!$B$2:$B$19,'chia CN XLBH'!$C113)</f>
        <v>0</v>
      </c>
      <c r="F113" s="419">
        <f>SUMIFS(XLBH!K$2:K$19,XLBH!$B$2:$B$19,'chia CN XLBH'!$C113)</f>
        <v>0</v>
      </c>
      <c r="I113" s="80">
        <f>'chia CN SX'!V110</f>
        <v>0</v>
      </c>
      <c r="J113" s="81">
        <f t="shared" si="6"/>
        <v>0</v>
      </c>
      <c r="K113" s="81">
        <f t="shared" si="7"/>
        <v>0</v>
      </c>
      <c r="L113" s="81">
        <f t="shared" si="8"/>
        <v>0</v>
      </c>
    </row>
    <row r="114" spans="1:12" x14ac:dyDescent="0.25">
      <c r="A114" s="421">
        <v>112</v>
      </c>
      <c r="B114" s="421"/>
      <c r="C114" s="421"/>
      <c r="D114" s="419">
        <f>SUMIFS(XLBH!I$2:I$19,XLBH!$B$2:$B$19,'chia CN XLBH'!$C114)</f>
        <v>0</v>
      </c>
      <c r="E114" s="419">
        <f>SUMIFS(XLBH!J$2:J$19,XLBH!$B$2:$B$19,'chia CN XLBH'!$C114)</f>
        <v>0</v>
      </c>
      <c r="F114" s="419">
        <f>SUMIFS(XLBH!K$2:K$19,XLBH!$B$2:$B$19,'chia CN XLBH'!$C114)</f>
        <v>0</v>
      </c>
      <c r="I114" s="80">
        <f>'chia CN SX'!V111</f>
        <v>0</v>
      </c>
      <c r="J114" s="81">
        <f t="shared" si="6"/>
        <v>0</v>
      </c>
      <c r="K114" s="81">
        <f t="shared" si="7"/>
        <v>0</v>
      </c>
      <c r="L114" s="81">
        <f t="shared" si="8"/>
        <v>0</v>
      </c>
    </row>
    <row r="115" spans="1:12" x14ac:dyDescent="0.25">
      <c r="A115" s="421">
        <v>113</v>
      </c>
      <c r="B115" s="421"/>
      <c r="C115" s="421"/>
      <c r="D115" s="419">
        <f>SUMIFS(XLBH!I$2:I$19,XLBH!$B$2:$B$19,'chia CN XLBH'!$C115)</f>
        <v>0</v>
      </c>
      <c r="E115" s="419">
        <f>SUMIFS(XLBH!J$2:J$19,XLBH!$B$2:$B$19,'chia CN XLBH'!$C115)</f>
        <v>0</v>
      </c>
      <c r="F115" s="419">
        <f>SUMIFS(XLBH!K$2:K$19,XLBH!$B$2:$B$19,'chia CN XLBH'!$C115)</f>
        <v>0</v>
      </c>
      <c r="I115" s="80">
        <f>'chia CN SX'!V112</f>
        <v>0</v>
      </c>
      <c r="J115" s="81">
        <f t="shared" si="6"/>
        <v>0</v>
      </c>
      <c r="K115" s="81">
        <f t="shared" si="7"/>
        <v>0</v>
      </c>
      <c r="L115" s="81">
        <f t="shared" si="8"/>
        <v>0</v>
      </c>
    </row>
    <row r="116" spans="1:12" x14ac:dyDescent="0.25">
      <c r="A116" s="421">
        <v>114</v>
      </c>
      <c r="B116" s="421"/>
      <c r="C116" s="421"/>
      <c r="D116" s="419">
        <f>SUMIFS(XLBH!I$2:I$19,XLBH!$B$2:$B$19,'chia CN XLBH'!$C116)</f>
        <v>0</v>
      </c>
      <c r="E116" s="419">
        <f>SUMIFS(XLBH!J$2:J$19,XLBH!$B$2:$B$19,'chia CN XLBH'!$C116)</f>
        <v>0</v>
      </c>
      <c r="F116" s="419">
        <f>SUMIFS(XLBH!K$2:K$19,XLBH!$B$2:$B$19,'chia CN XLBH'!$C116)</f>
        <v>0</v>
      </c>
      <c r="I116" s="80">
        <f>'chia CN SX'!V113</f>
        <v>0</v>
      </c>
      <c r="J116" s="81">
        <f t="shared" si="6"/>
        <v>0</v>
      </c>
      <c r="K116" s="81">
        <f t="shared" si="7"/>
        <v>0</v>
      </c>
      <c r="L116" s="81">
        <f t="shared" si="8"/>
        <v>0</v>
      </c>
    </row>
    <row r="117" spans="1:12" x14ac:dyDescent="0.25">
      <c r="A117" s="421">
        <v>115</v>
      </c>
      <c r="B117" s="421"/>
      <c r="C117" s="421"/>
      <c r="D117" s="419">
        <f>SUMIFS(XLBH!I$2:I$19,XLBH!$B$2:$B$19,'chia CN XLBH'!$C117)</f>
        <v>0</v>
      </c>
      <c r="E117" s="419">
        <f>SUMIFS(XLBH!J$2:J$19,XLBH!$B$2:$B$19,'chia CN XLBH'!$C117)</f>
        <v>0</v>
      </c>
      <c r="F117" s="419">
        <f>SUMIFS(XLBH!K$2:K$19,XLBH!$B$2:$B$19,'chia CN XLBH'!$C117)</f>
        <v>0</v>
      </c>
      <c r="I117" s="80">
        <f>'chia CN SX'!V114</f>
        <v>0</v>
      </c>
      <c r="J117" s="81">
        <f t="shared" si="6"/>
        <v>0</v>
      </c>
      <c r="K117" s="81">
        <f t="shared" si="7"/>
        <v>0</v>
      </c>
      <c r="L117" s="81">
        <f t="shared" si="8"/>
        <v>0</v>
      </c>
    </row>
    <row r="118" spans="1:12" x14ac:dyDescent="0.25">
      <c r="A118" s="421">
        <v>116</v>
      </c>
      <c r="B118" s="421"/>
      <c r="C118" s="421"/>
      <c r="D118" s="419">
        <f>SUMIFS(XLBH!I$2:I$19,XLBH!$B$2:$B$19,'chia CN XLBH'!$C118)</f>
        <v>0</v>
      </c>
      <c r="E118" s="419">
        <f>SUMIFS(XLBH!J$2:J$19,XLBH!$B$2:$B$19,'chia CN XLBH'!$C118)</f>
        <v>0</v>
      </c>
      <c r="F118" s="419">
        <f>SUMIFS(XLBH!K$2:K$19,XLBH!$B$2:$B$19,'chia CN XLBH'!$C118)</f>
        <v>0</v>
      </c>
      <c r="I118" s="80">
        <f>'chia CN SX'!V115</f>
        <v>0</v>
      </c>
      <c r="J118" s="81">
        <f t="shared" si="6"/>
        <v>0</v>
      </c>
      <c r="K118" s="81">
        <f t="shared" si="7"/>
        <v>0</v>
      </c>
      <c r="L118" s="81">
        <f t="shared" si="8"/>
        <v>0</v>
      </c>
    </row>
    <row r="119" spans="1:12" x14ac:dyDescent="0.25">
      <c r="A119" s="421">
        <v>117</v>
      </c>
      <c r="B119" s="421"/>
      <c r="C119" s="421"/>
      <c r="D119" s="419">
        <f>SUMIFS(XLBH!I$2:I$19,XLBH!$B$2:$B$19,'chia CN XLBH'!$C119)</f>
        <v>0</v>
      </c>
      <c r="E119" s="419">
        <f>SUMIFS(XLBH!J$2:J$19,XLBH!$B$2:$B$19,'chia CN XLBH'!$C119)</f>
        <v>0</v>
      </c>
      <c r="F119" s="419">
        <f>SUMIFS(XLBH!K$2:K$19,XLBH!$B$2:$B$19,'chia CN XLBH'!$C119)</f>
        <v>0</v>
      </c>
      <c r="I119" s="80">
        <f>'chia CN SX'!V116</f>
        <v>0</v>
      </c>
      <c r="J119" s="81">
        <f t="shared" si="6"/>
        <v>0</v>
      </c>
      <c r="K119" s="81">
        <f t="shared" si="7"/>
        <v>0</v>
      </c>
      <c r="L119" s="81">
        <f t="shared" si="8"/>
        <v>0</v>
      </c>
    </row>
    <row r="120" spans="1:12" x14ac:dyDescent="0.25">
      <c r="A120" s="421">
        <v>118</v>
      </c>
      <c r="B120" s="421"/>
      <c r="C120" s="421"/>
      <c r="D120" s="419">
        <f>SUMIFS(XLBH!I$2:I$19,XLBH!$B$2:$B$19,'chia CN XLBH'!$C120)</f>
        <v>0</v>
      </c>
      <c r="E120" s="419">
        <f>SUMIFS(XLBH!J$2:J$19,XLBH!$B$2:$B$19,'chia CN XLBH'!$C120)</f>
        <v>0</v>
      </c>
      <c r="F120" s="419">
        <f>SUMIFS(XLBH!K$2:K$19,XLBH!$B$2:$B$19,'chia CN XLBH'!$C120)</f>
        <v>0</v>
      </c>
      <c r="I120" s="80">
        <f>'chia CN SX'!V117</f>
        <v>0</v>
      </c>
      <c r="J120" s="81">
        <f t="shared" si="6"/>
        <v>0</v>
      </c>
      <c r="K120" s="81">
        <f t="shared" si="7"/>
        <v>0</v>
      </c>
      <c r="L120" s="81">
        <f t="shared" si="8"/>
        <v>0</v>
      </c>
    </row>
    <row r="121" spans="1:12" x14ac:dyDescent="0.25">
      <c r="A121" s="421">
        <v>119</v>
      </c>
      <c r="B121" s="421"/>
      <c r="C121" s="421"/>
      <c r="D121" s="419">
        <f>SUMIFS(XLBH!I$2:I$19,XLBH!$B$2:$B$19,'chia CN XLBH'!$C121)</f>
        <v>0</v>
      </c>
      <c r="E121" s="419">
        <f>SUMIFS(XLBH!J$2:J$19,XLBH!$B$2:$B$19,'chia CN XLBH'!$C121)</f>
        <v>0</v>
      </c>
      <c r="F121" s="419">
        <f>SUMIFS(XLBH!K$2:K$19,XLBH!$B$2:$B$19,'chia CN XLBH'!$C121)</f>
        <v>0</v>
      </c>
      <c r="I121" s="80">
        <f>'chia CN SX'!V118</f>
        <v>0</v>
      </c>
      <c r="J121" s="81">
        <f t="shared" si="6"/>
        <v>0</v>
      </c>
      <c r="K121" s="81">
        <f t="shared" si="7"/>
        <v>0</v>
      </c>
      <c r="L121" s="81">
        <f t="shared" si="8"/>
        <v>0</v>
      </c>
    </row>
    <row r="122" spans="1:12" x14ac:dyDescent="0.25">
      <c r="A122" s="421">
        <v>120</v>
      </c>
      <c r="B122" s="421"/>
      <c r="C122" s="421"/>
      <c r="D122" s="419">
        <f>SUMIFS(XLBH!I$2:I$19,XLBH!$B$2:$B$19,'chia CN XLBH'!$C122)</f>
        <v>0</v>
      </c>
      <c r="E122" s="419">
        <f>SUMIFS(XLBH!J$2:J$19,XLBH!$B$2:$B$19,'chia CN XLBH'!$C122)</f>
        <v>0</v>
      </c>
      <c r="F122" s="419">
        <f>SUMIFS(XLBH!K$2:K$19,XLBH!$B$2:$B$19,'chia CN XLBH'!$C122)</f>
        <v>0</v>
      </c>
      <c r="I122" s="80">
        <f>'chia CN SX'!V119</f>
        <v>0</v>
      </c>
      <c r="J122" s="81">
        <f t="shared" si="6"/>
        <v>0</v>
      </c>
      <c r="K122" s="81">
        <f t="shared" si="7"/>
        <v>0</v>
      </c>
      <c r="L122" s="81">
        <f t="shared" si="8"/>
        <v>0</v>
      </c>
    </row>
    <row r="123" spans="1:12" x14ac:dyDescent="0.25">
      <c r="A123" s="421">
        <v>121</v>
      </c>
      <c r="B123" s="421"/>
      <c r="C123" s="421"/>
      <c r="D123" s="419">
        <f>SUMIFS(XLBH!I$2:I$19,XLBH!$B$2:$B$19,'chia CN XLBH'!$C123)</f>
        <v>0</v>
      </c>
      <c r="E123" s="419">
        <f>SUMIFS(XLBH!J$2:J$19,XLBH!$B$2:$B$19,'chia CN XLBH'!$C123)</f>
        <v>0</v>
      </c>
      <c r="F123" s="419">
        <f>SUMIFS(XLBH!K$2:K$19,XLBH!$B$2:$B$19,'chia CN XLBH'!$C123)</f>
        <v>0</v>
      </c>
      <c r="I123" s="80">
        <f>'chia CN SX'!V120</f>
        <v>0</v>
      </c>
      <c r="J123" s="81">
        <f t="shared" si="6"/>
        <v>0</v>
      </c>
      <c r="K123" s="81">
        <f t="shared" si="7"/>
        <v>0</v>
      </c>
      <c r="L123" s="81">
        <f t="shared" si="8"/>
        <v>0</v>
      </c>
    </row>
    <row r="124" spans="1:12" x14ac:dyDescent="0.25">
      <c r="A124" s="421">
        <v>122</v>
      </c>
      <c r="B124" s="421"/>
      <c r="C124" s="421"/>
      <c r="D124" s="419">
        <f>SUMIFS(XLBH!I$2:I$19,XLBH!$B$2:$B$19,'chia CN XLBH'!$C124)</f>
        <v>0</v>
      </c>
      <c r="E124" s="419">
        <f>SUMIFS(XLBH!J$2:J$19,XLBH!$B$2:$B$19,'chia CN XLBH'!$C124)</f>
        <v>0</v>
      </c>
      <c r="F124" s="419">
        <f>SUMIFS(XLBH!K$2:K$19,XLBH!$B$2:$B$19,'chia CN XLBH'!$C124)</f>
        <v>0</v>
      </c>
      <c r="I124" s="80">
        <f>'chia CN SX'!V121</f>
        <v>0</v>
      </c>
      <c r="J124" s="81">
        <f t="shared" si="6"/>
        <v>0</v>
      </c>
      <c r="K124" s="81">
        <f t="shared" si="7"/>
        <v>0</v>
      </c>
      <c r="L124" s="81">
        <f t="shared" si="8"/>
        <v>0</v>
      </c>
    </row>
    <row r="125" spans="1:12" x14ac:dyDescent="0.25">
      <c r="A125" s="421">
        <v>123</v>
      </c>
      <c r="B125" s="421"/>
      <c r="C125" s="421"/>
      <c r="D125" s="419">
        <f>SUMIFS(XLBH!I$2:I$19,XLBH!$B$2:$B$19,'chia CN XLBH'!$C125)</f>
        <v>0</v>
      </c>
      <c r="E125" s="419">
        <f>SUMIFS(XLBH!J$2:J$19,XLBH!$B$2:$B$19,'chia CN XLBH'!$C125)</f>
        <v>0</v>
      </c>
      <c r="F125" s="419">
        <f>SUMIFS(XLBH!K$2:K$19,XLBH!$B$2:$B$19,'chia CN XLBH'!$C125)</f>
        <v>0</v>
      </c>
      <c r="I125" s="80">
        <f>'chia CN SX'!V122</f>
        <v>0</v>
      </c>
      <c r="J125" s="81">
        <f t="shared" si="6"/>
        <v>0</v>
      </c>
      <c r="K125" s="81">
        <f t="shared" si="7"/>
        <v>0</v>
      </c>
      <c r="L125" s="81">
        <f t="shared" si="8"/>
        <v>0</v>
      </c>
    </row>
    <row r="126" spans="1:12" x14ac:dyDescent="0.25">
      <c r="A126" s="421">
        <v>124</v>
      </c>
      <c r="B126" s="421"/>
      <c r="C126" s="421"/>
      <c r="D126" s="419">
        <f>SUMIFS(XLBH!I$2:I$19,XLBH!$B$2:$B$19,'chia CN XLBH'!$C126)</f>
        <v>0</v>
      </c>
      <c r="E126" s="419">
        <f>SUMIFS(XLBH!J$2:J$19,XLBH!$B$2:$B$19,'chia CN XLBH'!$C126)</f>
        <v>0</v>
      </c>
      <c r="F126" s="419">
        <f>SUMIFS(XLBH!K$2:K$19,XLBH!$B$2:$B$19,'chia CN XLBH'!$C126)</f>
        <v>0</v>
      </c>
      <c r="I126" s="80">
        <f>'chia CN SX'!V123</f>
        <v>0</v>
      </c>
      <c r="J126" s="81">
        <f t="shared" si="6"/>
        <v>0</v>
      </c>
      <c r="K126" s="81">
        <f t="shared" si="7"/>
        <v>0</v>
      </c>
      <c r="L126" s="81">
        <f t="shared" si="8"/>
        <v>0</v>
      </c>
    </row>
    <row r="127" spans="1:12" x14ac:dyDescent="0.25">
      <c r="A127" s="421">
        <v>125</v>
      </c>
      <c r="B127" s="421"/>
      <c r="C127" s="421"/>
      <c r="D127" s="419">
        <f>SUMIFS(XLBH!I$2:I$19,XLBH!$B$2:$B$19,'chia CN XLBH'!$C127)</f>
        <v>0</v>
      </c>
      <c r="E127" s="419">
        <f>SUMIFS(XLBH!J$2:J$19,XLBH!$B$2:$B$19,'chia CN XLBH'!$C127)</f>
        <v>0</v>
      </c>
      <c r="F127" s="419">
        <f>SUMIFS(XLBH!K$2:K$19,XLBH!$B$2:$B$19,'chia CN XLBH'!$C127)</f>
        <v>0</v>
      </c>
      <c r="I127" s="80">
        <f>'chia CN SX'!V124</f>
        <v>0</v>
      </c>
      <c r="J127" s="81">
        <f t="shared" si="6"/>
        <v>0</v>
      </c>
      <c r="K127" s="81">
        <f t="shared" si="7"/>
        <v>0</v>
      </c>
      <c r="L127" s="81">
        <f t="shared" si="8"/>
        <v>0</v>
      </c>
    </row>
    <row r="128" spans="1:12" x14ac:dyDescent="0.25">
      <c r="A128" s="421">
        <v>126</v>
      </c>
      <c r="B128" s="421"/>
      <c r="C128" s="421"/>
      <c r="D128" s="419">
        <f>SUMIFS(XLBH!I$2:I$19,XLBH!$B$2:$B$19,'chia CN XLBH'!$C128)</f>
        <v>0</v>
      </c>
      <c r="E128" s="419">
        <f>SUMIFS(XLBH!J$2:J$19,XLBH!$B$2:$B$19,'chia CN XLBH'!$C128)</f>
        <v>0</v>
      </c>
      <c r="F128" s="419">
        <f>SUMIFS(XLBH!K$2:K$19,XLBH!$B$2:$B$19,'chia CN XLBH'!$C128)</f>
        <v>0</v>
      </c>
      <c r="I128" s="80">
        <f>'chia CN SX'!V125</f>
        <v>0</v>
      </c>
      <c r="J128" s="81">
        <f t="shared" si="6"/>
        <v>0</v>
      </c>
      <c r="K128" s="81">
        <f t="shared" si="7"/>
        <v>0</v>
      </c>
      <c r="L128" s="81">
        <f t="shared" si="8"/>
        <v>0</v>
      </c>
    </row>
    <row r="129" spans="1:12" x14ac:dyDescent="0.25">
      <c r="A129" s="421">
        <v>127</v>
      </c>
      <c r="B129" s="421"/>
      <c r="C129" s="421"/>
      <c r="D129" s="419">
        <f>SUMIFS(XLBH!I$2:I$19,XLBH!$B$2:$B$19,'chia CN XLBH'!$C129)</f>
        <v>0</v>
      </c>
      <c r="E129" s="419">
        <f>SUMIFS(XLBH!J$2:J$19,XLBH!$B$2:$B$19,'chia CN XLBH'!$C129)</f>
        <v>0</v>
      </c>
      <c r="F129" s="419">
        <f>SUMIFS(XLBH!K$2:K$19,XLBH!$B$2:$B$19,'chia CN XLBH'!$C129)</f>
        <v>0</v>
      </c>
      <c r="I129" s="80">
        <f>'chia CN SX'!V126</f>
        <v>0</v>
      </c>
      <c r="J129" s="81">
        <f t="shared" si="6"/>
        <v>0</v>
      </c>
      <c r="K129" s="81">
        <f t="shared" si="7"/>
        <v>0</v>
      </c>
      <c r="L129" s="81">
        <f t="shared" si="8"/>
        <v>0</v>
      </c>
    </row>
    <row r="130" spans="1:12" x14ac:dyDescent="0.25">
      <c r="A130" s="421">
        <v>128</v>
      </c>
      <c r="B130" s="421"/>
      <c r="C130" s="421"/>
      <c r="D130" s="419">
        <f>SUMIFS(XLBH!I$2:I$19,XLBH!$B$2:$B$19,'chia CN XLBH'!$C130)</f>
        <v>0</v>
      </c>
      <c r="E130" s="419">
        <f>SUMIFS(XLBH!J$2:J$19,XLBH!$B$2:$B$19,'chia CN XLBH'!$C130)</f>
        <v>0</v>
      </c>
      <c r="F130" s="419">
        <f>SUMIFS(XLBH!K$2:K$19,XLBH!$B$2:$B$19,'chia CN XLBH'!$C130)</f>
        <v>0</v>
      </c>
      <c r="I130" s="80">
        <f>'chia CN SX'!V127</f>
        <v>0</v>
      </c>
      <c r="J130" s="81">
        <f t="shared" si="6"/>
        <v>0</v>
      </c>
      <c r="K130" s="81">
        <f t="shared" si="7"/>
        <v>0</v>
      </c>
      <c r="L130" s="81">
        <f t="shared" si="8"/>
        <v>0</v>
      </c>
    </row>
    <row r="131" spans="1:12" x14ac:dyDescent="0.25">
      <c r="A131" s="421">
        <v>129</v>
      </c>
      <c r="B131" s="421"/>
      <c r="C131" s="421"/>
      <c r="D131" s="419">
        <f>SUMIFS(XLBH!I$2:I$19,XLBH!$B$2:$B$19,'chia CN XLBH'!$C131)</f>
        <v>0</v>
      </c>
      <c r="E131" s="419">
        <f>SUMIFS(XLBH!J$2:J$19,XLBH!$B$2:$B$19,'chia CN XLBH'!$C131)</f>
        <v>0</v>
      </c>
      <c r="F131" s="419">
        <f>SUMIFS(XLBH!K$2:K$19,XLBH!$B$2:$B$19,'chia CN XLBH'!$C131)</f>
        <v>0</v>
      </c>
      <c r="I131" s="80">
        <f>'chia CN SX'!V128</f>
        <v>0</v>
      </c>
      <c r="J131" s="81">
        <f t="shared" si="6"/>
        <v>0</v>
      </c>
      <c r="K131" s="81">
        <f t="shared" si="7"/>
        <v>0</v>
      </c>
      <c r="L131" s="81">
        <f t="shared" si="8"/>
        <v>0</v>
      </c>
    </row>
    <row r="132" spans="1:12" x14ac:dyDescent="0.25">
      <c r="A132" s="421">
        <v>130</v>
      </c>
      <c r="B132" s="421"/>
      <c r="C132" s="421"/>
      <c r="D132" s="419">
        <f>SUMIFS(XLBH!I$2:I$19,XLBH!$B$2:$B$19,'chia CN XLBH'!$C132)</f>
        <v>0</v>
      </c>
      <c r="E132" s="419">
        <f>SUMIFS(XLBH!J$2:J$19,XLBH!$B$2:$B$19,'chia CN XLBH'!$C132)</f>
        <v>0</v>
      </c>
      <c r="F132" s="419">
        <f>SUMIFS(XLBH!K$2:K$19,XLBH!$B$2:$B$19,'chia CN XLBH'!$C132)</f>
        <v>0</v>
      </c>
      <c r="I132" s="80">
        <f>'chia CN SX'!V129</f>
        <v>0</v>
      </c>
      <c r="J132" s="81">
        <f t="shared" si="6"/>
        <v>0</v>
      </c>
      <c r="K132" s="81">
        <f t="shared" si="7"/>
        <v>0</v>
      </c>
      <c r="L132" s="81">
        <f t="shared" si="8"/>
        <v>0</v>
      </c>
    </row>
    <row r="133" spans="1:12" x14ac:dyDescent="0.25">
      <c r="A133" s="421">
        <v>131</v>
      </c>
      <c r="B133" s="421"/>
      <c r="C133" s="421"/>
      <c r="D133" s="419">
        <f>SUMIFS(XLBH!I$2:I$19,XLBH!$B$2:$B$19,'chia CN XLBH'!$C133)</f>
        <v>0</v>
      </c>
      <c r="E133" s="419">
        <f>SUMIFS(XLBH!J$2:J$19,XLBH!$B$2:$B$19,'chia CN XLBH'!$C133)</f>
        <v>0</v>
      </c>
      <c r="F133" s="419">
        <f>SUMIFS(XLBH!K$2:K$19,XLBH!$B$2:$B$19,'chia CN XLBH'!$C133)</f>
        <v>0</v>
      </c>
      <c r="I133" s="80">
        <f>'chia CN SX'!V130</f>
        <v>0</v>
      </c>
      <c r="J133" s="81">
        <f t="shared" si="6"/>
        <v>0</v>
      </c>
      <c r="K133" s="81">
        <f t="shared" si="7"/>
        <v>0</v>
      </c>
      <c r="L133" s="81">
        <f t="shared" si="8"/>
        <v>0</v>
      </c>
    </row>
    <row r="134" spans="1:12" x14ac:dyDescent="0.25">
      <c r="A134" s="421">
        <v>132</v>
      </c>
      <c r="B134" s="421"/>
      <c r="C134" s="421"/>
      <c r="D134" s="419">
        <f>SUMIFS(XLBH!I$2:I$19,XLBH!$B$2:$B$19,'chia CN XLBH'!$C134)</f>
        <v>0</v>
      </c>
      <c r="E134" s="419">
        <f>SUMIFS(XLBH!J$2:J$19,XLBH!$B$2:$B$19,'chia CN XLBH'!$C134)</f>
        <v>0</v>
      </c>
      <c r="F134" s="419">
        <f>SUMIFS(XLBH!K$2:K$19,XLBH!$B$2:$B$19,'chia CN XLBH'!$C134)</f>
        <v>0</v>
      </c>
      <c r="I134" s="80">
        <f>'chia CN SX'!V131</f>
        <v>0</v>
      </c>
      <c r="J134" s="81">
        <f t="shared" si="6"/>
        <v>0</v>
      </c>
      <c r="K134" s="81">
        <f t="shared" si="7"/>
        <v>0</v>
      </c>
      <c r="L134" s="81">
        <f t="shared" si="8"/>
        <v>0</v>
      </c>
    </row>
    <row r="135" spans="1:12" x14ac:dyDescent="0.25">
      <c r="A135" s="421">
        <v>133</v>
      </c>
      <c r="B135" s="421"/>
      <c r="C135" s="421"/>
      <c r="D135" s="419">
        <f>SUMIFS(XLBH!I$2:I$19,XLBH!$B$2:$B$19,'chia CN XLBH'!$C135)</f>
        <v>0</v>
      </c>
      <c r="E135" s="419">
        <f>SUMIFS(XLBH!J$2:J$19,XLBH!$B$2:$B$19,'chia CN XLBH'!$C135)</f>
        <v>0</v>
      </c>
      <c r="F135" s="419">
        <f>SUMIFS(XLBH!K$2:K$19,XLBH!$B$2:$B$19,'chia CN XLBH'!$C135)</f>
        <v>0</v>
      </c>
      <c r="I135" s="80">
        <f>'chia CN SX'!V132</f>
        <v>0</v>
      </c>
      <c r="J135" s="81">
        <f t="shared" si="6"/>
        <v>0</v>
      </c>
      <c r="K135" s="81">
        <f t="shared" si="7"/>
        <v>0</v>
      </c>
      <c r="L135" s="81">
        <f t="shared" si="8"/>
        <v>0</v>
      </c>
    </row>
    <row r="136" spans="1:12" x14ac:dyDescent="0.25">
      <c r="A136" s="421">
        <v>134</v>
      </c>
      <c r="B136" s="421"/>
      <c r="C136" s="421"/>
      <c r="D136" s="419">
        <f>SUMIFS(XLBH!I$2:I$19,XLBH!$B$2:$B$19,'chia CN XLBH'!$C136)</f>
        <v>0</v>
      </c>
      <c r="E136" s="419">
        <f>SUMIFS(XLBH!J$2:J$19,XLBH!$B$2:$B$19,'chia CN XLBH'!$C136)</f>
        <v>0</v>
      </c>
      <c r="F136" s="419">
        <f>SUMIFS(XLBH!K$2:K$19,XLBH!$B$2:$B$19,'chia CN XLBH'!$C136)</f>
        <v>0</v>
      </c>
      <c r="I136" s="80">
        <f>'chia CN SX'!V133</f>
        <v>0</v>
      </c>
      <c r="J136" s="81">
        <f t="shared" si="6"/>
        <v>0</v>
      </c>
      <c r="K136" s="81">
        <f t="shared" si="7"/>
        <v>0</v>
      </c>
      <c r="L136" s="81">
        <f t="shared" si="8"/>
        <v>0</v>
      </c>
    </row>
    <row r="137" spans="1:12" x14ac:dyDescent="0.25">
      <c r="A137" s="421">
        <v>135</v>
      </c>
      <c r="B137" s="421"/>
      <c r="C137" s="421"/>
      <c r="D137" s="419">
        <f>SUMIFS(XLBH!I$2:I$19,XLBH!$B$2:$B$19,'chia CN XLBH'!$C137)</f>
        <v>0</v>
      </c>
      <c r="E137" s="419">
        <f>SUMIFS(XLBH!J$2:J$19,XLBH!$B$2:$B$19,'chia CN XLBH'!$C137)</f>
        <v>0</v>
      </c>
      <c r="F137" s="419">
        <f>SUMIFS(XLBH!K$2:K$19,XLBH!$B$2:$B$19,'chia CN XLBH'!$C137)</f>
        <v>0</v>
      </c>
      <c r="I137" s="80">
        <f>'chia CN SX'!V134</f>
        <v>0</v>
      </c>
      <c r="J137" s="81">
        <f t="shared" si="6"/>
        <v>0</v>
      </c>
      <c r="K137" s="81">
        <f t="shared" si="7"/>
        <v>0</v>
      </c>
      <c r="L137" s="81">
        <f t="shared" si="8"/>
        <v>0</v>
      </c>
    </row>
    <row r="138" spans="1:12" x14ac:dyDescent="0.25">
      <c r="A138" s="421">
        <v>136</v>
      </c>
      <c r="B138" s="421"/>
      <c r="C138" s="421"/>
      <c r="D138" s="419">
        <f>SUMIFS(XLBH!I$2:I$19,XLBH!$B$2:$B$19,'chia CN XLBH'!$C138)</f>
        <v>0</v>
      </c>
      <c r="E138" s="419">
        <f>SUMIFS(XLBH!J$2:J$19,XLBH!$B$2:$B$19,'chia CN XLBH'!$C138)</f>
        <v>0</v>
      </c>
      <c r="F138" s="419">
        <f>SUMIFS(XLBH!K$2:K$19,XLBH!$B$2:$B$19,'chia CN XLBH'!$C138)</f>
        <v>0</v>
      </c>
      <c r="I138" s="80">
        <f>'chia CN SX'!V135</f>
        <v>0</v>
      </c>
      <c r="J138" s="81">
        <f t="shared" si="6"/>
        <v>0</v>
      </c>
      <c r="K138" s="81">
        <f t="shared" si="7"/>
        <v>0</v>
      </c>
      <c r="L138" s="81">
        <f t="shared" si="8"/>
        <v>0</v>
      </c>
    </row>
    <row r="139" spans="1:12" x14ac:dyDescent="0.25">
      <c r="A139" s="421">
        <v>137</v>
      </c>
      <c r="B139" s="421"/>
      <c r="C139" s="421"/>
      <c r="D139" s="419">
        <f>SUMIFS(XLBH!I$2:I$19,XLBH!$B$2:$B$19,'chia CN XLBH'!$C139)</f>
        <v>0</v>
      </c>
      <c r="E139" s="419">
        <f>SUMIFS(XLBH!J$2:J$19,XLBH!$B$2:$B$19,'chia CN XLBH'!$C139)</f>
        <v>0</v>
      </c>
      <c r="F139" s="419">
        <f>SUMIFS(XLBH!K$2:K$19,XLBH!$B$2:$B$19,'chia CN XLBH'!$C139)</f>
        <v>0</v>
      </c>
      <c r="I139" s="80">
        <f>'chia CN SX'!V136</f>
        <v>0</v>
      </c>
      <c r="J139" s="81">
        <f t="shared" si="6"/>
        <v>0</v>
      </c>
      <c r="K139" s="81">
        <f t="shared" si="7"/>
        <v>0</v>
      </c>
      <c r="L139" s="81">
        <f t="shared" si="8"/>
        <v>0</v>
      </c>
    </row>
    <row r="140" spans="1:12" x14ac:dyDescent="0.25">
      <c r="A140" s="421">
        <v>138</v>
      </c>
      <c r="B140" s="421"/>
      <c r="C140" s="421"/>
      <c r="D140" s="419">
        <f>SUMIFS(XLBH!I$2:I$19,XLBH!$B$2:$B$19,'chia CN XLBH'!$C140)</f>
        <v>0</v>
      </c>
      <c r="E140" s="419">
        <f>SUMIFS(XLBH!J$2:J$19,XLBH!$B$2:$B$19,'chia CN XLBH'!$C140)</f>
        <v>0</v>
      </c>
      <c r="F140" s="419">
        <f>SUMIFS(XLBH!K$2:K$19,XLBH!$B$2:$B$19,'chia CN XLBH'!$C140)</f>
        <v>0</v>
      </c>
      <c r="I140" s="80">
        <f>'chia CN SX'!V137</f>
        <v>0</v>
      </c>
      <c r="J140" s="81">
        <f t="shared" si="6"/>
        <v>0</v>
      </c>
      <c r="K140" s="81">
        <f t="shared" si="7"/>
        <v>0</v>
      </c>
      <c r="L140" s="81">
        <f t="shared" si="8"/>
        <v>0</v>
      </c>
    </row>
    <row r="141" spans="1:12" x14ac:dyDescent="0.25">
      <c r="A141" s="421">
        <v>139</v>
      </c>
      <c r="B141" s="421"/>
      <c r="C141" s="421"/>
      <c r="D141" s="419">
        <f>SUMIFS(XLBH!I$2:I$19,XLBH!$B$2:$B$19,'chia CN XLBH'!$C141)</f>
        <v>0</v>
      </c>
      <c r="E141" s="419">
        <f>SUMIFS(XLBH!J$2:J$19,XLBH!$B$2:$B$19,'chia CN XLBH'!$C141)</f>
        <v>0</v>
      </c>
      <c r="F141" s="419">
        <f>SUMIFS(XLBH!K$2:K$19,XLBH!$B$2:$B$19,'chia CN XLBH'!$C141)</f>
        <v>0</v>
      </c>
      <c r="I141" s="80">
        <f>'chia CN SX'!V138</f>
        <v>0</v>
      </c>
      <c r="J141" s="81">
        <f t="shared" si="6"/>
        <v>0</v>
      </c>
      <c r="K141" s="81">
        <f t="shared" si="7"/>
        <v>0</v>
      </c>
      <c r="L141" s="81">
        <f t="shared" si="8"/>
        <v>0</v>
      </c>
    </row>
    <row r="142" spans="1:12" x14ac:dyDescent="0.25">
      <c r="A142" s="421">
        <v>140</v>
      </c>
      <c r="B142" s="421"/>
      <c r="C142" s="421"/>
      <c r="D142" s="419">
        <f>SUMIFS(XLBH!I$2:I$19,XLBH!$B$2:$B$19,'chia CN XLBH'!$C142)</f>
        <v>0</v>
      </c>
      <c r="E142" s="419">
        <f>SUMIFS(XLBH!J$2:J$19,XLBH!$B$2:$B$19,'chia CN XLBH'!$C142)</f>
        <v>0</v>
      </c>
      <c r="F142" s="419">
        <f>SUMIFS(XLBH!K$2:K$19,XLBH!$B$2:$B$19,'chia CN XLBH'!$C142)</f>
        <v>0</v>
      </c>
      <c r="I142" s="80">
        <f>'chia CN SX'!V139</f>
        <v>0</v>
      </c>
      <c r="J142" s="81">
        <f t="shared" si="6"/>
        <v>0</v>
      </c>
      <c r="K142" s="81">
        <f t="shared" si="7"/>
        <v>0</v>
      </c>
      <c r="L142" s="81">
        <f t="shared" si="8"/>
        <v>0</v>
      </c>
    </row>
    <row r="143" spans="1:12" x14ac:dyDescent="0.25">
      <c r="A143" s="421">
        <v>141</v>
      </c>
      <c r="B143" s="421"/>
      <c r="C143" s="421"/>
      <c r="D143" s="419">
        <f>SUMIFS(XLBH!I$2:I$19,XLBH!$B$2:$B$19,'chia CN XLBH'!$C143)</f>
        <v>0</v>
      </c>
      <c r="E143" s="419">
        <f>SUMIFS(XLBH!J$2:J$19,XLBH!$B$2:$B$19,'chia CN XLBH'!$C143)</f>
        <v>0</v>
      </c>
      <c r="F143" s="419">
        <f>SUMIFS(XLBH!K$2:K$19,XLBH!$B$2:$B$19,'chia CN XLBH'!$C143)</f>
        <v>0</v>
      </c>
      <c r="I143" s="80">
        <f>'chia CN SX'!V140</f>
        <v>0</v>
      </c>
      <c r="J143" s="81">
        <f t="shared" si="6"/>
        <v>0</v>
      </c>
      <c r="K143" s="81">
        <f t="shared" si="7"/>
        <v>0</v>
      </c>
      <c r="L143" s="81">
        <f t="shared" si="8"/>
        <v>0</v>
      </c>
    </row>
    <row r="144" spans="1:12" x14ac:dyDescent="0.25">
      <c r="A144" s="421">
        <v>142</v>
      </c>
      <c r="B144" s="421"/>
      <c r="C144" s="421"/>
      <c r="D144" s="419">
        <f>SUMIFS(XLBH!I$2:I$19,XLBH!$B$2:$B$19,'chia CN XLBH'!$C144)</f>
        <v>0</v>
      </c>
      <c r="E144" s="419">
        <f>SUMIFS(XLBH!J$2:J$19,XLBH!$B$2:$B$19,'chia CN XLBH'!$C144)</f>
        <v>0</v>
      </c>
      <c r="F144" s="419">
        <f>SUMIFS(XLBH!K$2:K$19,XLBH!$B$2:$B$19,'chia CN XLBH'!$C144)</f>
        <v>0</v>
      </c>
      <c r="I144" s="80">
        <f>'chia CN SX'!V141</f>
        <v>0</v>
      </c>
      <c r="J144" s="81">
        <f t="shared" si="6"/>
        <v>0</v>
      </c>
      <c r="K144" s="81">
        <f t="shared" si="7"/>
        <v>0</v>
      </c>
      <c r="L144" s="81">
        <f t="shared" si="8"/>
        <v>0</v>
      </c>
    </row>
    <row r="145" spans="1:12" x14ac:dyDescent="0.25">
      <c r="A145" s="421">
        <v>143</v>
      </c>
      <c r="B145" s="421"/>
      <c r="C145" s="421"/>
      <c r="D145" s="419">
        <f>SUMIFS(XLBH!I$2:I$19,XLBH!$B$2:$B$19,'chia CN XLBH'!$C145)</f>
        <v>0</v>
      </c>
      <c r="E145" s="419">
        <f>SUMIFS(XLBH!J$2:J$19,XLBH!$B$2:$B$19,'chia CN XLBH'!$C145)</f>
        <v>0</v>
      </c>
      <c r="F145" s="419">
        <f>SUMIFS(XLBH!K$2:K$19,XLBH!$B$2:$B$19,'chia CN XLBH'!$C145)</f>
        <v>0</v>
      </c>
      <c r="I145" s="80">
        <f>'chia CN SX'!V142</f>
        <v>0</v>
      </c>
      <c r="J145" s="81">
        <f t="shared" si="6"/>
        <v>0</v>
      </c>
      <c r="K145" s="81">
        <f t="shared" si="7"/>
        <v>0</v>
      </c>
      <c r="L145" s="81">
        <f t="shared" si="8"/>
        <v>0</v>
      </c>
    </row>
    <row r="146" spans="1:12" x14ac:dyDescent="0.25">
      <c r="A146" s="421">
        <v>144</v>
      </c>
      <c r="B146" s="421"/>
      <c r="C146" s="421"/>
      <c r="D146" s="419">
        <f>SUMIFS(XLBH!I$2:I$19,XLBH!$B$2:$B$19,'chia CN XLBH'!$C146)</f>
        <v>0</v>
      </c>
      <c r="E146" s="419">
        <f>SUMIFS(XLBH!J$2:J$19,XLBH!$B$2:$B$19,'chia CN XLBH'!$C146)</f>
        <v>0</v>
      </c>
      <c r="F146" s="419">
        <f>SUMIFS(XLBH!K$2:K$19,XLBH!$B$2:$B$19,'chia CN XLBH'!$C146)</f>
        <v>0</v>
      </c>
      <c r="I146" s="80">
        <f>'chia CN SX'!V143</f>
        <v>0</v>
      </c>
      <c r="J146" s="81">
        <f t="shared" si="6"/>
        <v>0</v>
      </c>
      <c r="K146" s="81">
        <f t="shared" si="7"/>
        <v>0</v>
      </c>
      <c r="L146" s="81">
        <f t="shared" si="8"/>
        <v>0</v>
      </c>
    </row>
    <row r="147" spans="1:12" x14ac:dyDescent="0.25">
      <c r="A147" s="421">
        <v>145</v>
      </c>
      <c r="B147" s="421"/>
      <c r="C147" s="421"/>
      <c r="D147" s="419">
        <f>SUMIFS(XLBH!I$2:I$19,XLBH!$B$2:$B$19,'chia CN XLBH'!$C147)</f>
        <v>0</v>
      </c>
      <c r="E147" s="419">
        <f>SUMIFS(XLBH!J$2:J$19,XLBH!$B$2:$B$19,'chia CN XLBH'!$C147)</f>
        <v>0</v>
      </c>
      <c r="F147" s="419">
        <f>SUMIFS(XLBH!K$2:K$19,XLBH!$B$2:$B$19,'chia CN XLBH'!$C147)</f>
        <v>0</v>
      </c>
      <c r="I147" s="80">
        <f>'chia CN SX'!V144</f>
        <v>0</v>
      </c>
      <c r="J147" s="81">
        <f t="shared" ref="J147:J156" si="9">SUMIF($B$3:$B$169,$I147,D$3:D$169)</f>
        <v>0</v>
      </c>
      <c r="K147" s="81">
        <f t="shared" ref="K147:K156" si="10">SUMIF($B$3:$B$169,$I147,E$3:E$169)</f>
        <v>0</v>
      </c>
      <c r="L147" s="81">
        <f t="shared" ref="L147:L156" si="11">SUMIF($B$3:$B$169,$I147,F$3:F$169)</f>
        <v>0</v>
      </c>
    </row>
    <row r="148" spans="1:12" x14ac:dyDescent="0.25">
      <c r="A148" s="421">
        <v>146</v>
      </c>
      <c r="B148" s="421"/>
      <c r="C148" s="421"/>
      <c r="D148" s="419">
        <f>SUMIFS(XLBH!I$2:I$19,XLBH!$B$2:$B$19,'chia CN XLBH'!$C148)</f>
        <v>0</v>
      </c>
      <c r="E148" s="419">
        <f>SUMIFS(XLBH!J$2:J$19,XLBH!$B$2:$B$19,'chia CN XLBH'!$C148)</f>
        <v>0</v>
      </c>
      <c r="F148" s="419">
        <f>SUMIFS(XLBH!K$2:K$19,XLBH!$B$2:$B$19,'chia CN XLBH'!$C148)</f>
        <v>0</v>
      </c>
      <c r="I148" s="80">
        <f>'chia CN SX'!V145</f>
        <v>0</v>
      </c>
      <c r="J148" s="81">
        <f t="shared" si="9"/>
        <v>0</v>
      </c>
      <c r="K148" s="81">
        <f t="shared" si="10"/>
        <v>0</v>
      </c>
      <c r="L148" s="81">
        <f t="shared" si="11"/>
        <v>0</v>
      </c>
    </row>
    <row r="149" spans="1:12" x14ac:dyDescent="0.25">
      <c r="A149" s="421">
        <v>147</v>
      </c>
      <c r="B149" s="421"/>
      <c r="C149" s="421"/>
      <c r="D149" s="419">
        <f>SUMIFS(XLBH!I$2:I$19,XLBH!$B$2:$B$19,'chia CN XLBH'!$C149)</f>
        <v>0</v>
      </c>
      <c r="E149" s="419">
        <f>SUMIFS(XLBH!J$2:J$19,XLBH!$B$2:$B$19,'chia CN XLBH'!$C149)</f>
        <v>0</v>
      </c>
      <c r="F149" s="419">
        <f>SUMIFS(XLBH!K$2:K$19,XLBH!$B$2:$B$19,'chia CN XLBH'!$C149)</f>
        <v>0</v>
      </c>
      <c r="I149" s="80">
        <f>'chia CN SX'!V146</f>
        <v>0</v>
      </c>
      <c r="J149" s="81">
        <f t="shared" si="9"/>
        <v>0</v>
      </c>
      <c r="K149" s="81">
        <f t="shared" si="10"/>
        <v>0</v>
      </c>
      <c r="L149" s="81">
        <f t="shared" si="11"/>
        <v>0</v>
      </c>
    </row>
    <row r="150" spans="1:12" x14ac:dyDescent="0.25">
      <c r="A150" s="421">
        <v>148</v>
      </c>
      <c r="B150" s="421"/>
      <c r="C150" s="421"/>
      <c r="D150" s="419">
        <f>SUMIFS(XLBH!I$2:I$19,XLBH!$B$2:$B$19,'chia CN XLBH'!$C150)</f>
        <v>0</v>
      </c>
      <c r="E150" s="419">
        <f>SUMIFS(XLBH!J$2:J$19,XLBH!$B$2:$B$19,'chia CN XLBH'!$C150)</f>
        <v>0</v>
      </c>
      <c r="F150" s="419">
        <f>SUMIFS(XLBH!K$2:K$19,XLBH!$B$2:$B$19,'chia CN XLBH'!$C150)</f>
        <v>0</v>
      </c>
      <c r="I150" s="80">
        <f>'chia CN SX'!V147</f>
        <v>0</v>
      </c>
      <c r="J150" s="81">
        <f t="shared" si="9"/>
        <v>0</v>
      </c>
      <c r="K150" s="81">
        <f t="shared" si="10"/>
        <v>0</v>
      </c>
      <c r="L150" s="81">
        <f t="shared" si="11"/>
        <v>0</v>
      </c>
    </row>
    <row r="151" spans="1:12" x14ac:dyDescent="0.25">
      <c r="A151" s="421">
        <v>149</v>
      </c>
      <c r="B151" s="421"/>
      <c r="C151" s="421"/>
      <c r="D151" s="419">
        <f>SUMIFS(XLBH!I$2:I$19,XLBH!$B$2:$B$19,'chia CN XLBH'!$C151)</f>
        <v>0</v>
      </c>
      <c r="E151" s="419">
        <f>SUMIFS(XLBH!J$2:J$19,XLBH!$B$2:$B$19,'chia CN XLBH'!$C151)</f>
        <v>0</v>
      </c>
      <c r="F151" s="419">
        <f>SUMIFS(XLBH!K$2:K$19,XLBH!$B$2:$B$19,'chia CN XLBH'!$C151)</f>
        <v>0</v>
      </c>
      <c r="I151" s="80">
        <f>'chia CN SX'!V148</f>
        <v>0</v>
      </c>
      <c r="J151" s="81">
        <f t="shared" si="9"/>
        <v>0</v>
      </c>
      <c r="K151" s="81">
        <f t="shared" si="10"/>
        <v>0</v>
      </c>
      <c r="L151" s="81">
        <f t="shared" si="11"/>
        <v>0</v>
      </c>
    </row>
    <row r="152" spans="1:12" x14ac:dyDescent="0.25">
      <c r="A152" s="421">
        <v>150</v>
      </c>
      <c r="B152" s="421"/>
      <c r="C152" s="421"/>
      <c r="D152" s="419">
        <f>SUMIFS(XLBH!I$2:I$19,XLBH!$B$2:$B$19,'chia CN XLBH'!$C152)</f>
        <v>0</v>
      </c>
      <c r="E152" s="419">
        <f>SUMIFS(XLBH!J$2:J$19,XLBH!$B$2:$B$19,'chia CN XLBH'!$C152)</f>
        <v>0</v>
      </c>
      <c r="F152" s="419">
        <f>SUMIFS(XLBH!K$2:K$19,XLBH!$B$2:$B$19,'chia CN XLBH'!$C152)</f>
        <v>0</v>
      </c>
      <c r="I152" s="80">
        <f>'chia CN SX'!V149</f>
        <v>0</v>
      </c>
      <c r="J152" s="81">
        <f t="shared" si="9"/>
        <v>0</v>
      </c>
      <c r="K152" s="81">
        <f t="shared" si="10"/>
        <v>0</v>
      </c>
      <c r="L152" s="81">
        <f t="shared" si="11"/>
        <v>0</v>
      </c>
    </row>
    <row r="153" spans="1:12" x14ac:dyDescent="0.25">
      <c r="A153" s="421">
        <v>151</v>
      </c>
      <c r="B153" s="421"/>
      <c r="C153" s="421"/>
      <c r="D153" s="419">
        <f>SUMIFS(XLBH!I$2:I$19,XLBH!$B$2:$B$19,'chia CN XLBH'!$C153)</f>
        <v>0</v>
      </c>
      <c r="E153" s="419">
        <f>SUMIFS(XLBH!J$2:J$19,XLBH!$B$2:$B$19,'chia CN XLBH'!$C153)</f>
        <v>0</v>
      </c>
      <c r="F153" s="419">
        <f>SUMIFS(XLBH!K$2:K$19,XLBH!$B$2:$B$19,'chia CN XLBH'!$C153)</f>
        <v>0</v>
      </c>
      <c r="I153" s="80">
        <f>'chia CN SX'!V150</f>
        <v>0</v>
      </c>
      <c r="J153" s="81">
        <f t="shared" si="9"/>
        <v>0</v>
      </c>
      <c r="K153" s="81">
        <f t="shared" si="10"/>
        <v>0</v>
      </c>
      <c r="L153" s="81">
        <f t="shared" si="11"/>
        <v>0</v>
      </c>
    </row>
    <row r="154" spans="1:12" x14ac:dyDescent="0.25">
      <c r="A154" s="421">
        <v>152</v>
      </c>
      <c r="B154" s="421"/>
      <c r="C154" s="421"/>
      <c r="D154" s="419">
        <f>SUMIFS(XLBH!I$2:I$19,XLBH!$B$2:$B$19,'chia CN XLBH'!$C154)</f>
        <v>0</v>
      </c>
      <c r="E154" s="419">
        <f>SUMIFS(XLBH!J$2:J$19,XLBH!$B$2:$B$19,'chia CN XLBH'!$C154)</f>
        <v>0</v>
      </c>
      <c r="F154" s="419">
        <f>SUMIFS(XLBH!K$2:K$19,XLBH!$B$2:$B$19,'chia CN XLBH'!$C154)</f>
        <v>0</v>
      </c>
      <c r="I154" s="80">
        <f>'chia CN SX'!V151</f>
        <v>0</v>
      </c>
      <c r="J154" s="81">
        <f t="shared" si="9"/>
        <v>0</v>
      </c>
      <c r="K154" s="81">
        <f t="shared" si="10"/>
        <v>0</v>
      </c>
      <c r="L154" s="81">
        <f t="shared" si="11"/>
        <v>0</v>
      </c>
    </row>
    <row r="155" spans="1:12" x14ac:dyDescent="0.25">
      <c r="A155" s="421">
        <v>153</v>
      </c>
      <c r="B155" s="421"/>
      <c r="C155" s="421"/>
      <c r="D155" s="419">
        <f>SUMIFS(XLBH!I$2:I$19,XLBH!$B$2:$B$19,'chia CN XLBH'!$C155)</f>
        <v>0</v>
      </c>
      <c r="E155" s="419">
        <f>SUMIFS(XLBH!J$2:J$19,XLBH!$B$2:$B$19,'chia CN XLBH'!$C155)</f>
        <v>0</v>
      </c>
      <c r="F155" s="419">
        <f>SUMIFS(XLBH!K$2:K$19,XLBH!$B$2:$B$19,'chia CN XLBH'!$C155)</f>
        <v>0</v>
      </c>
      <c r="I155" s="80">
        <f>'chia CN SX'!V152</f>
        <v>0</v>
      </c>
      <c r="J155" s="81">
        <f t="shared" si="9"/>
        <v>0</v>
      </c>
      <c r="K155" s="81">
        <f t="shared" si="10"/>
        <v>0</v>
      </c>
      <c r="L155" s="81">
        <f t="shared" si="11"/>
        <v>0</v>
      </c>
    </row>
    <row r="156" spans="1:12" x14ac:dyDescent="0.25">
      <c r="A156" s="421">
        <v>154</v>
      </c>
      <c r="B156" s="421"/>
      <c r="C156" s="421"/>
      <c r="D156" s="419">
        <f>SUMIFS(XLBH!I$2:I$19,XLBH!$B$2:$B$19,'chia CN XLBH'!$C156)</f>
        <v>0</v>
      </c>
      <c r="E156" s="419">
        <f>SUMIFS(XLBH!J$2:J$19,XLBH!$B$2:$B$19,'chia CN XLBH'!$C156)</f>
        <v>0</v>
      </c>
      <c r="F156" s="419">
        <f>SUMIFS(XLBH!K$2:K$19,XLBH!$B$2:$B$19,'chia CN XLBH'!$C156)</f>
        <v>0</v>
      </c>
      <c r="I156" s="80">
        <f>'chia CN SX'!V153</f>
        <v>0</v>
      </c>
      <c r="J156" s="81">
        <f t="shared" si="9"/>
        <v>0</v>
      </c>
      <c r="K156" s="81">
        <f t="shared" si="10"/>
        <v>0</v>
      </c>
      <c r="L156" s="81">
        <f t="shared" si="11"/>
        <v>0</v>
      </c>
    </row>
    <row r="157" spans="1:12" x14ac:dyDescent="0.25">
      <c r="A157" s="421">
        <v>127</v>
      </c>
      <c r="B157" s="421"/>
      <c r="C157" s="421"/>
      <c r="D157" s="419">
        <f>SUMIFS(XLBH!I$2:I$19,XLBH!$B$2:$B$19,'chia CN XLBH'!$C157)</f>
        <v>0</v>
      </c>
      <c r="E157" s="419">
        <f>SUMIFS(XLBH!J$2:J$19,XLBH!$B$2:$B$19,'chia CN XLBH'!$C157)</f>
        <v>0</v>
      </c>
      <c r="F157" s="419">
        <f>SUMIFS(XLBH!K$2:K$19,XLBH!$B$2:$B$19,'chia CN XLBH'!$C157)</f>
        <v>0</v>
      </c>
      <c r="I157" s="80">
        <f>'chia CN SX'!V126</f>
        <v>0</v>
      </c>
      <c r="J157" s="81">
        <f t="shared" ref="J157:J169" si="12">SUMIF($B$3:$B$169,$I157,D$3:D$169)</f>
        <v>0</v>
      </c>
      <c r="K157" s="81">
        <f t="shared" ref="K157:K169" si="13">SUMIF($B$3:$B$169,$I157,E$3:E$169)</f>
        <v>0</v>
      </c>
      <c r="L157" s="81">
        <f t="shared" ref="L157:L169" si="14">SUMIF($B$3:$B$169,$I157,F$3:F$169)</f>
        <v>0</v>
      </c>
    </row>
    <row r="158" spans="1:12" x14ac:dyDescent="0.25">
      <c r="A158" s="421">
        <v>128</v>
      </c>
      <c r="B158" s="421"/>
      <c r="C158" s="421"/>
      <c r="D158" s="419">
        <f>SUMIFS(XLBH!I$2:I$19,XLBH!$B$2:$B$19,'chia CN XLBH'!$C158)</f>
        <v>0</v>
      </c>
      <c r="E158" s="419">
        <f>SUMIFS(XLBH!J$2:J$19,XLBH!$B$2:$B$19,'chia CN XLBH'!$C158)</f>
        <v>0</v>
      </c>
      <c r="F158" s="419">
        <f>SUMIFS(XLBH!K$2:K$19,XLBH!$B$2:$B$19,'chia CN XLBH'!$C158)</f>
        <v>0</v>
      </c>
      <c r="I158" s="80">
        <f>'chia CN SX'!V127</f>
        <v>0</v>
      </c>
      <c r="J158" s="81">
        <f t="shared" si="12"/>
        <v>0</v>
      </c>
      <c r="K158" s="81">
        <f t="shared" si="13"/>
        <v>0</v>
      </c>
      <c r="L158" s="81">
        <f t="shared" si="14"/>
        <v>0</v>
      </c>
    </row>
    <row r="159" spans="1:12" x14ac:dyDescent="0.25">
      <c r="A159" s="421">
        <v>129</v>
      </c>
      <c r="B159" s="421"/>
      <c r="C159" s="421"/>
      <c r="D159" s="419">
        <f>SUMIFS(XLBH!I$2:I$19,XLBH!$B$2:$B$19,'chia CN XLBH'!$C159)</f>
        <v>0</v>
      </c>
      <c r="E159" s="419">
        <f>SUMIFS(XLBH!J$2:J$19,XLBH!$B$2:$B$19,'chia CN XLBH'!$C159)</f>
        <v>0</v>
      </c>
      <c r="F159" s="419">
        <f>SUMIFS(XLBH!K$2:K$19,XLBH!$B$2:$B$19,'chia CN XLBH'!$C159)</f>
        <v>0</v>
      </c>
      <c r="I159" s="80">
        <f>'chia CN SX'!V128</f>
        <v>0</v>
      </c>
      <c r="J159" s="81">
        <f t="shared" si="12"/>
        <v>0</v>
      </c>
      <c r="K159" s="81">
        <f t="shared" si="13"/>
        <v>0</v>
      </c>
      <c r="L159" s="81">
        <f t="shared" si="14"/>
        <v>0</v>
      </c>
    </row>
    <row r="160" spans="1:12" x14ac:dyDescent="0.25">
      <c r="A160" s="421">
        <v>130</v>
      </c>
      <c r="B160" s="421"/>
      <c r="C160" s="421"/>
      <c r="D160" s="419">
        <f>SUMIFS(XLBH!I$2:I$19,XLBH!$B$2:$B$19,'chia CN XLBH'!$C160)</f>
        <v>0</v>
      </c>
      <c r="E160" s="419">
        <f>SUMIFS(XLBH!J$2:J$19,XLBH!$B$2:$B$19,'chia CN XLBH'!$C160)</f>
        <v>0</v>
      </c>
      <c r="F160" s="419">
        <f>SUMIFS(XLBH!K$2:K$19,XLBH!$B$2:$B$19,'chia CN XLBH'!$C160)</f>
        <v>0</v>
      </c>
      <c r="I160" s="80">
        <f>'chia CN SX'!V129</f>
        <v>0</v>
      </c>
      <c r="J160" s="81">
        <f t="shared" si="12"/>
        <v>0</v>
      </c>
      <c r="K160" s="81">
        <f t="shared" si="13"/>
        <v>0</v>
      </c>
      <c r="L160" s="81">
        <f t="shared" si="14"/>
        <v>0</v>
      </c>
    </row>
    <row r="161" spans="1:12" x14ac:dyDescent="0.25">
      <c r="A161" s="421">
        <v>131</v>
      </c>
      <c r="B161" s="421"/>
      <c r="C161" s="421"/>
      <c r="D161" s="419">
        <f>SUMIFS(XLBH!I$2:I$19,XLBH!$B$2:$B$19,'chia CN XLBH'!$C161)</f>
        <v>0</v>
      </c>
      <c r="E161" s="419">
        <f>SUMIFS(XLBH!J$2:J$19,XLBH!$B$2:$B$19,'chia CN XLBH'!$C161)</f>
        <v>0</v>
      </c>
      <c r="F161" s="419">
        <f>SUMIFS(XLBH!K$2:K$19,XLBH!$B$2:$B$19,'chia CN XLBH'!$C161)</f>
        <v>0</v>
      </c>
      <c r="I161" s="80">
        <f>'chia CN SX'!V130</f>
        <v>0</v>
      </c>
      <c r="J161" s="81">
        <f t="shared" si="12"/>
        <v>0</v>
      </c>
      <c r="K161" s="81">
        <f t="shared" si="13"/>
        <v>0</v>
      </c>
      <c r="L161" s="81">
        <f t="shared" si="14"/>
        <v>0</v>
      </c>
    </row>
    <row r="162" spans="1:12" x14ac:dyDescent="0.25">
      <c r="A162" s="421">
        <v>132</v>
      </c>
      <c r="B162" s="421"/>
      <c r="C162" s="421"/>
      <c r="D162" s="419">
        <f>SUMIFS(XLBH!I$2:I$19,XLBH!$B$2:$B$19,'chia CN XLBH'!$C162)</f>
        <v>0</v>
      </c>
      <c r="E162" s="419">
        <f>SUMIFS(XLBH!J$2:J$19,XLBH!$B$2:$B$19,'chia CN XLBH'!$C162)</f>
        <v>0</v>
      </c>
      <c r="F162" s="419">
        <f>SUMIFS(XLBH!K$2:K$19,XLBH!$B$2:$B$19,'chia CN XLBH'!$C162)</f>
        <v>0</v>
      </c>
      <c r="I162" s="80">
        <f>'chia CN SX'!V131</f>
        <v>0</v>
      </c>
      <c r="J162" s="81">
        <f t="shared" si="12"/>
        <v>0</v>
      </c>
      <c r="K162" s="81">
        <f t="shared" si="13"/>
        <v>0</v>
      </c>
      <c r="L162" s="81">
        <f t="shared" si="14"/>
        <v>0</v>
      </c>
    </row>
    <row r="163" spans="1:12" x14ac:dyDescent="0.25">
      <c r="A163" s="421">
        <v>133</v>
      </c>
      <c r="B163" s="421"/>
      <c r="C163" s="421"/>
      <c r="D163" s="419">
        <f>SUMIFS(XLBH!I$2:I$19,XLBH!$B$2:$B$19,'chia CN XLBH'!$C163)</f>
        <v>0</v>
      </c>
      <c r="E163" s="419">
        <f>SUMIFS(XLBH!J$2:J$19,XLBH!$B$2:$B$19,'chia CN XLBH'!$C163)</f>
        <v>0</v>
      </c>
      <c r="F163" s="419">
        <f>SUMIFS(XLBH!K$2:K$19,XLBH!$B$2:$B$19,'chia CN XLBH'!$C163)</f>
        <v>0</v>
      </c>
      <c r="I163" s="80">
        <f>'chia CN SX'!V132</f>
        <v>0</v>
      </c>
      <c r="J163" s="81">
        <f t="shared" si="12"/>
        <v>0</v>
      </c>
      <c r="K163" s="81">
        <f t="shared" si="13"/>
        <v>0</v>
      </c>
      <c r="L163" s="81">
        <f t="shared" si="14"/>
        <v>0</v>
      </c>
    </row>
    <row r="164" spans="1:12" x14ac:dyDescent="0.25">
      <c r="A164" s="421">
        <v>134</v>
      </c>
      <c r="B164" s="421"/>
      <c r="C164" s="421"/>
      <c r="D164" s="419">
        <f>SUMIFS(XLBH!I$2:I$19,XLBH!$B$2:$B$19,'chia CN XLBH'!$C164)</f>
        <v>0</v>
      </c>
      <c r="E164" s="419">
        <f>SUMIFS(XLBH!J$2:J$19,XLBH!$B$2:$B$19,'chia CN XLBH'!$C164)</f>
        <v>0</v>
      </c>
      <c r="F164" s="419">
        <f>SUMIFS(XLBH!K$2:K$19,XLBH!$B$2:$B$19,'chia CN XLBH'!$C164)</f>
        <v>0</v>
      </c>
      <c r="I164" s="80">
        <f>'chia CN SX'!V133</f>
        <v>0</v>
      </c>
      <c r="J164" s="81">
        <f t="shared" si="12"/>
        <v>0</v>
      </c>
      <c r="K164" s="81">
        <f t="shared" si="13"/>
        <v>0</v>
      </c>
      <c r="L164" s="81">
        <f t="shared" si="14"/>
        <v>0</v>
      </c>
    </row>
    <row r="165" spans="1:12" x14ac:dyDescent="0.25">
      <c r="A165" s="421">
        <v>135</v>
      </c>
      <c r="B165" s="421"/>
      <c r="C165" s="421"/>
      <c r="D165" s="419">
        <f>SUMIFS(XLBH!I$2:I$19,XLBH!$B$2:$B$19,'chia CN XLBH'!$C165)</f>
        <v>0</v>
      </c>
      <c r="E165" s="419">
        <f>SUMIFS(XLBH!J$2:J$19,XLBH!$B$2:$B$19,'chia CN XLBH'!$C165)</f>
        <v>0</v>
      </c>
      <c r="F165" s="419">
        <f>SUMIFS(XLBH!K$2:K$19,XLBH!$B$2:$B$19,'chia CN XLBH'!$C165)</f>
        <v>0</v>
      </c>
      <c r="I165" s="80">
        <f>'chia CN SX'!V134</f>
        <v>0</v>
      </c>
      <c r="J165" s="81">
        <f t="shared" si="12"/>
        <v>0</v>
      </c>
      <c r="K165" s="81">
        <f t="shared" si="13"/>
        <v>0</v>
      </c>
      <c r="L165" s="81">
        <f t="shared" si="14"/>
        <v>0</v>
      </c>
    </row>
    <row r="166" spans="1:12" x14ac:dyDescent="0.25">
      <c r="A166" s="421">
        <v>136</v>
      </c>
      <c r="B166" s="421"/>
      <c r="C166" s="421"/>
      <c r="D166" s="419">
        <f>SUMIFS(XLBH!I$2:I$19,XLBH!$B$2:$B$19,'chia CN XLBH'!$C166)</f>
        <v>0</v>
      </c>
      <c r="E166" s="419">
        <f>SUMIFS(XLBH!J$2:J$19,XLBH!$B$2:$B$19,'chia CN XLBH'!$C166)</f>
        <v>0</v>
      </c>
      <c r="F166" s="419">
        <f>SUMIFS(XLBH!K$2:K$19,XLBH!$B$2:$B$19,'chia CN XLBH'!$C166)</f>
        <v>0</v>
      </c>
      <c r="I166" s="80">
        <f>'chia CN SX'!V135</f>
        <v>0</v>
      </c>
      <c r="J166" s="81">
        <f t="shared" si="12"/>
        <v>0</v>
      </c>
      <c r="K166" s="81">
        <f t="shared" si="13"/>
        <v>0</v>
      </c>
      <c r="L166" s="81">
        <f t="shared" si="14"/>
        <v>0</v>
      </c>
    </row>
    <row r="167" spans="1:12" x14ac:dyDescent="0.25">
      <c r="A167" s="421">
        <v>137</v>
      </c>
      <c r="B167" s="421"/>
      <c r="C167" s="421"/>
      <c r="D167" s="419">
        <f>SUMIFS(XLBH!I$2:I$19,XLBH!$B$2:$B$19,'chia CN XLBH'!$C167)</f>
        <v>0</v>
      </c>
      <c r="E167" s="419">
        <f>SUMIFS(XLBH!J$2:J$19,XLBH!$B$2:$B$19,'chia CN XLBH'!$C167)</f>
        <v>0</v>
      </c>
      <c r="F167" s="419">
        <f>SUMIFS(XLBH!K$2:K$19,XLBH!$B$2:$B$19,'chia CN XLBH'!$C167)</f>
        <v>0</v>
      </c>
      <c r="I167" s="80">
        <f>'chia CN SX'!V136</f>
        <v>0</v>
      </c>
      <c r="J167" s="81">
        <f t="shared" si="12"/>
        <v>0</v>
      </c>
      <c r="K167" s="81">
        <f t="shared" si="13"/>
        <v>0</v>
      </c>
      <c r="L167" s="81">
        <f t="shared" si="14"/>
        <v>0</v>
      </c>
    </row>
    <row r="168" spans="1:12" x14ac:dyDescent="0.25">
      <c r="A168" s="421">
        <v>138</v>
      </c>
      <c r="B168" s="421"/>
      <c r="C168" s="421"/>
      <c r="D168" s="419">
        <f>SUMIFS(XLBH!I$2:I$19,XLBH!$B$2:$B$19,'chia CN XLBH'!$C168)</f>
        <v>0</v>
      </c>
      <c r="E168" s="419">
        <f>SUMIFS(XLBH!J$2:J$19,XLBH!$B$2:$B$19,'chia CN XLBH'!$C168)</f>
        <v>0</v>
      </c>
      <c r="F168" s="419">
        <f>SUMIFS(XLBH!K$2:K$19,XLBH!$B$2:$B$19,'chia CN XLBH'!$C168)</f>
        <v>0</v>
      </c>
      <c r="I168" s="80">
        <f>'chia CN SX'!V137</f>
        <v>0</v>
      </c>
      <c r="J168" s="81">
        <f t="shared" si="12"/>
        <v>0</v>
      </c>
      <c r="K168" s="81">
        <f t="shared" si="13"/>
        <v>0</v>
      </c>
      <c r="L168" s="81">
        <f t="shared" si="14"/>
        <v>0</v>
      </c>
    </row>
    <row r="169" spans="1:12" x14ac:dyDescent="0.25">
      <c r="A169" s="421">
        <v>139</v>
      </c>
      <c r="B169" s="421"/>
      <c r="C169" s="421"/>
      <c r="D169" s="419">
        <f>SUMIFS(XLBH!I$2:I$19,XLBH!$B$2:$B$19,'chia CN XLBH'!$C169)</f>
        <v>0</v>
      </c>
      <c r="E169" s="419">
        <f>SUMIFS(XLBH!J$2:J$19,XLBH!$B$2:$B$19,'chia CN XLBH'!$C169)</f>
        <v>0</v>
      </c>
      <c r="F169" s="419">
        <f>SUMIFS(XLBH!K$2:K$19,XLBH!$B$2:$B$19,'chia CN XLBH'!$C169)</f>
        <v>0</v>
      </c>
      <c r="I169" s="80">
        <f>'chia CN SX'!V138</f>
        <v>0</v>
      </c>
      <c r="J169" s="81">
        <f t="shared" si="12"/>
        <v>0</v>
      </c>
      <c r="K169" s="81">
        <f t="shared" si="13"/>
        <v>0</v>
      </c>
      <c r="L169" s="81">
        <f t="shared" si="14"/>
        <v>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'1'!$C$6:$C$15</xm:f>
          </x14:formula1>
          <xm:sqref>B6:B1048576</xm:sqref>
        </x14:dataValidation>
        <x14:dataValidation type="list" allowBlank="1" showInputMessage="1" showErrorMessage="1">
          <x14:formula1>
            <xm:f>'1'!$C$6:$C$15</xm:f>
          </x14:formula1>
          <xm:sqref>B1:B2</xm:sqref>
        </x14:dataValidation>
        <x14:dataValidation type="list" allowBlank="1" showInputMessage="1" showErrorMessage="1">
          <x14:formula1>
            <xm:f>'1'!$C$6:$C$15</xm:f>
          </x14:formula1>
          <xm:sqref>B4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55</vt:i4>
      </vt:variant>
      <vt:variant>
        <vt:lpstr>Named Ranges</vt:lpstr>
      </vt:variant>
      <vt:variant>
        <vt:i4>7</vt:i4>
      </vt:variant>
    </vt:vector>
  </HeadingPairs>
  <TitlesOfParts>
    <vt:vector size="62" baseType="lpstr">
      <vt:lpstr>Sheet2</vt:lpstr>
      <vt:lpstr>Thang bảng lương</vt:lpstr>
      <vt:lpstr>Diễn giải</vt:lpstr>
      <vt:lpstr>Bang luong</vt:lpstr>
      <vt:lpstr>he so</vt:lpstr>
      <vt:lpstr>the luong</vt:lpstr>
      <vt:lpstr>thang luong moi</vt:lpstr>
      <vt:lpstr>Bang luong (chaun)</vt:lpstr>
      <vt:lpstr>ung luong</vt:lpstr>
      <vt:lpstr>So sánh - nhan xet</vt:lpstr>
      <vt:lpstr>chuyên cần</vt:lpstr>
      <vt:lpstr>nhap cc</vt:lpstr>
      <vt:lpstr>BLuong</vt:lpstr>
      <vt:lpstr>TG - Phep nam</vt:lpstr>
      <vt:lpstr>CC</vt:lpstr>
      <vt:lpstr>BANG LUONG 1</vt:lpstr>
      <vt:lpstr>đơn giá</vt:lpstr>
      <vt:lpstr>Công tổng</vt:lpstr>
      <vt:lpstr>26</vt:lpstr>
      <vt:lpstr>27</vt:lpstr>
      <vt:lpstr>28</vt:lpstr>
      <vt:lpstr>29</vt:lpstr>
      <vt:lpstr>30</vt:lpstr>
      <vt:lpstr>31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boc xe</vt:lpstr>
      <vt:lpstr>chia CN boc xe</vt:lpstr>
      <vt:lpstr>SX</vt:lpstr>
      <vt:lpstr>chia CN SX</vt:lpstr>
      <vt:lpstr>XLBH</vt:lpstr>
      <vt:lpstr>chia CN XLBH</vt:lpstr>
      <vt:lpstr>'Bang luong (chaun)'!Print_Area</vt:lpstr>
      <vt:lpstr>'BANG LUONG 1'!Print_Area</vt:lpstr>
      <vt:lpstr>'thang luong moi'!Print_Area</vt:lpstr>
      <vt:lpstr>'BANG LUONG 1'!Print_Titles</vt:lpstr>
      <vt:lpstr>CC!Print_Titles</vt:lpstr>
      <vt:lpstr>'TG - Phep nam'!Print_Titles</vt:lpstr>
      <vt:lpstr>'ung luong'!Print_Titles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saocodon</dc:creator>
  <cp:lastModifiedBy>Luxury</cp:lastModifiedBy>
  <cp:lastPrinted>2019-10-05T07:47:34Z</cp:lastPrinted>
  <dcterms:created xsi:type="dcterms:W3CDTF">2015-09-18T03:45:33Z</dcterms:created>
  <dcterms:modified xsi:type="dcterms:W3CDTF">2019-10-09T06:08:33Z</dcterms:modified>
</cp:coreProperties>
</file>